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760" tabRatio="646" firstSheet="1" activeTab="1"/>
  </bookViews>
  <sheets>
    <sheet name="Assumptions &amp; Open Questions" sheetId="1" state="hidden" r:id="rId1"/>
    <sheet name="Profit and loss" sheetId="2" r:id="rId2"/>
    <sheet name="Balance Sheet" sheetId="3" r:id="rId3"/>
    <sheet name="Monthly Proforma P&amp;L" sheetId="4" r:id="rId4"/>
    <sheet name="Current Balance Sheet" sheetId="5" state="hidden" r:id="rId5"/>
    <sheet name="Cash Flow Proforma" sheetId="6" r:id="rId6"/>
    <sheet name="Graphs" sheetId="7" r:id="rId7"/>
    <sheet name="Depreciation Wrksht" sheetId="8" state="hidden" r:id="rId8"/>
    <sheet name="Equity-Loan-Grants Wkst" sheetId="9" state="hidden" r:id="rId9"/>
    <sheet name="Sales and cost of sales" sheetId="10" r:id="rId10"/>
    <sheet name="Loan" sheetId="11" state="hidden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<sst xmlns="http://schemas.openxmlformats.org/spreadsheetml/2006/main" count="335" uniqueCount="253">
  <si>
    <t>Financial Summary Highlights</t>
  </si>
  <si>
    <t>Year 1</t>
  </si>
  <si>
    <t>Year 2</t>
  </si>
  <si>
    <t>Year 3</t>
  </si>
  <si>
    <t>Revenue</t>
  </si>
  <si>
    <t>Net Income</t>
  </si>
  <si>
    <t>Net Cash Flow</t>
  </si>
  <si>
    <t>Driver</t>
  </si>
  <si>
    <t>Amount of Investment Raised</t>
  </si>
  <si>
    <t>Open Questions</t>
  </si>
  <si>
    <t>Proforma Profit &amp; Loss</t>
  </si>
  <si>
    <t xml:space="preserve">For the Years Ending </t>
  </si>
  <si>
    <t>Total Revenue</t>
  </si>
  <si>
    <t>Total Revenues</t>
  </si>
  <si>
    <t>Expenses</t>
  </si>
  <si>
    <t xml:space="preserve"> </t>
  </si>
  <si>
    <t>Total Operating Expenses</t>
  </si>
  <si>
    <t>Interest Incurred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</si>
  <si>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</si>
  <si>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</si>
  <si>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</si>
  <si>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</si>
  <si>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</si>
  <si>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</si>
  <si>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Balance Sheet</t>
  </si>
  <si>
    <t>OK TO ADJUST ANY ROW WITH "MANUAL INPUT" IN THIS COLUMN</t>
  </si>
  <si>
    <t>Period</t>
  </si>
  <si>
    <t>Source</t>
  </si>
  <si>
    <t>Comments</t>
  </si>
  <si>
    <t>Assets</t>
  </si>
  <si>
    <t>Current Assets</t>
  </si>
  <si>
    <t>Cash</t>
  </si>
  <si>
    <t>&lt;--- manual input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</si>
  <si>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</si>
  <si>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</si>
  <si>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</si>
  <si>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</si>
  <si>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</si>
  <si>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</si>
  <si>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</si>
  <si>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</si>
  <si>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</si>
  <si>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</si>
  <si>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</si>
  <si>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</si>
  <si>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</si>
  <si>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</si>
  <si>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</si>
  <si>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</si>
  <si>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</si>
  <si>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</si>
  <si>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</si>
  <si>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</si>
  <si>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</si>
  <si>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</si>
  <si>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</si>
  <si>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</si>
  <si>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</si>
  <si>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</si>
  <si>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</si>
  <si>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</si>
  <si>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</si>
  <si>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</si>
  <si>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</si>
  <si>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&lt;--- Calculated</t>
  </si>
  <si>
    <t>Total owner's equity</t>
  </si>
  <si>
    <t>Total Liabilities and Owner's Equity</t>
  </si>
  <si>
    <t>Common Financial Ratios</t>
  </si>
  <si>
    <r>
      <rPr>
        <b/>
        <sz val="10"/>
        <color indexed="8"/>
        <rFont val="Verdana"/>
        <family val="2"/>
      </rPr>
      <t xml:space="preserve">Debt Ratio </t>
    </r>
    <r>
      <rPr>
        <sz val="10"/>
        <color indexed="8"/>
        <rFont val="Verdana"/>
        <family val="2"/>
      </rPr>
      <t>(Total Liabilities / Total Assets)</t>
    </r>
  </si>
  <si>
    <r>
      <rPr>
        <b/>
        <sz val="10"/>
        <color indexed="8"/>
        <rFont val="Verdana"/>
        <family val="2"/>
      </rPr>
      <t xml:space="preserve">Current Ratio </t>
    </r>
    <r>
      <rPr>
        <sz val="10"/>
        <color indexed="8"/>
        <rFont val="Verdana"/>
        <family val="2"/>
      </rPr>
      <t>(Current Assets / Current Liabilities)</t>
    </r>
  </si>
  <si>
    <r>
      <rPr>
        <b/>
        <sz val="10"/>
        <color indexed="8"/>
        <rFont val="Verdana"/>
        <family val="2"/>
      </rPr>
      <t xml:space="preserve">Working Capital </t>
    </r>
    <r>
      <rPr>
        <sz val="10"/>
        <color indexed="8"/>
        <rFont val="Verdana"/>
        <family val="2"/>
      </rPr>
      <t>(Current Assets - Current Liabilities)</t>
    </r>
  </si>
  <si>
    <r>
      <rPr>
        <b/>
        <sz val="10"/>
        <color indexed="8"/>
        <rFont val="Verdana"/>
        <family val="2"/>
      </rPr>
      <t>Assets-to-Equity Ratio</t>
    </r>
    <r>
      <rPr>
        <sz val="10"/>
        <color indexed="8"/>
        <rFont val="Verdana"/>
        <family val="2"/>
      </rPr>
      <t xml:space="preserve"> (Total Assets / Owner's Equity)</t>
    </r>
  </si>
  <si>
    <r>
      <rPr>
        <b/>
        <sz val="10"/>
        <color indexed="8"/>
        <rFont val="Verdana"/>
        <family val="2"/>
      </rPr>
      <t>Debt-to-Equity Ratio</t>
    </r>
    <r>
      <rPr>
        <sz val="10"/>
        <color indexed="8"/>
        <rFont val="Verdana"/>
        <family val="2"/>
      </rPr>
      <t xml:space="preserve"> (Total Liabilities / Owner's Equity)</t>
    </r>
  </si>
  <si>
    <t>Check for Balance</t>
  </si>
  <si>
    <t>12-Month Cash Flow</t>
  </si>
  <si>
    <t>Proforma Cash Flow Statement</t>
  </si>
  <si>
    <t>Period Beginning</t>
  </si>
  <si>
    <t>Period Ending</t>
  </si>
  <si>
    <t>Cash at Beginning of Period</t>
  </si>
  <si>
    <t>Cash at End of Period</t>
  </si>
  <si>
    <t>Month</t>
  </si>
  <si>
    <t>Operations</t>
  </si>
  <si>
    <t>Cash receipts from</t>
  </si>
  <si>
    <t>Cash paid for</t>
  </si>
  <si>
    <t>Income taxes</t>
  </si>
  <si>
    <t>Net Cash Flow from Operations</t>
  </si>
  <si>
    <t>Investing Activities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</si>
  <si>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</si>
  <si>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</si>
  <si>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</si>
  <si>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</si>
  <si>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</si>
  <si>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</si>
  <si>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</si>
  <si>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</si>
  <si>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Depreciation Schedule</t>
  </si>
  <si>
    <t>Present Value</t>
  </si>
  <si>
    <t xml:space="preserve">Future Value </t>
  </si>
  <si>
    <t>Term (months)</t>
  </si>
  <si>
    <t>Monthly Depreciation Expense</t>
  </si>
  <si>
    <t>Assets to be depreciated</t>
  </si>
  <si>
    <t>Computer</t>
  </si>
  <si>
    <t>n/a</t>
  </si>
  <si>
    <t>Principle Amount</t>
  </si>
  <si>
    <t># of payments</t>
  </si>
  <si>
    <t>Interest Rate</t>
  </si>
  <si>
    <t>Monthly Payment Amount</t>
  </si>
  <si>
    <t>Total Investment Raised</t>
  </si>
  <si>
    <t>Investor 1</t>
  </si>
  <si>
    <t>Investment 2</t>
  </si>
  <si>
    <t>Investment 3</t>
  </si>
  <si>
    <t>Investment 4</t>
  </si>
  <si>
    <t>Investment 5</t>
  </si>
  <si>
    <t>Investment 6</t>
  </si>
  <si>
    <t>Investment 7</t>
  </si>
  <si>
    <t>Total Grants Received</t>
  </si>
  <si>
    <t>Grant 1</t>
  </si>
  <si>
    <t>Grant 2</t>
  </si>
  <si>
    <t>Grant 3</t>
  </si>
  <si>
    <t>Categories</t>
  </si>
  <si>
    <t xml:space="preserve">Accounts Receivable </t>
  </si>
  <si>
    <t>Owner capital</t>
  </si>
  <si>
    <t>Year 4</t>
  </si>
  <si>
    <t>Year 5</t>
  </si>
  <si>
    <t>Proj</t>
  </si>
  <si>
    <t>Total Current Assets</t>
  </si>
  <si>
    <t>Fixed Assets</t>
  </si>
  <si>
    <t>Accumulated Depreciation</t>
  </si>
  <si>
    <t>Total Fixed Assets</t>
  </si>
  <si>
    <t>Intangible Assets</t>
  </si>
  <si>
    <t>Intangibles</t>
  </si>
  <si>
    <t>Total Intangible Assets</t>
  </si>
  <si>
    <t>Liabilities and Equity</t>
  </si>
  <si>
    <t>Accounts Payable</t>
  </si>
  <si>
    <t>Loan Payable</t>
  </si>
  <si>
    <t>Total Current Liabilities</t>
  </si>
  <si>
    <t>Long Term Liabilities</t>
  </si>
  <si>
    <t>Closing</t>
  </si>
  <si>
    <t>Total Liabilities</t>
  </si>
  <si>
    <t>Owners' Equity</t>
  </si>
  <si>
    <t>Invested capital</t>
  </si>
  <si>
    <t>Closing owner capital</t>
  </si>
  <si>
    <t>Retained Earnings</t>
  </si>
  <si>
    <t>Current Year Income (Loss)</t>
  </si>
  <si>
    <t>Total Owners' Equity</t>
  </si>
  <si>
    <t>Total Liabilities and Equity</t>
  </si>
  <si>
    <t>Depreiciation</t>
  </si>
  <si>
    <t>Loan Repayment</t>
  </si>
  <si>
    <t>Loan Amount</t>
  </si>
  <si>
    <t>Opening Balance</t>
  </si>
  <si>
    <t>instalment</t>
  </si>
  <si>
    <t>interest</t>
  </si>
  <si>
    <t>Principal</t>
  </si>
  <si>
    <t>Closing Balance</t>
  </si>
  <si>
    <t>Af</t>
  </si>
  <si>
    <t>Tenure</t>
  </si>
  <si>
    <t>2 Year</t>
  </si>
  <si>
    <t>i</t>
  </si>
  <si>
    <t>1-(1+i)^-n</t>
  </si>
  <si>
    <t>Bank overdraft - Opening</t>
  </si>
  <si>
    <t>Repaid</t>
  </si>
  <si>
    <t>Net Income Before interest, tax and dep</t>
  </si>
  <si>
    <t>Projected sales and cost of services.</t>
  </si>
  <si>
    <t>Balance Sheet Projections (3 years)</t>
  </si>
  <si>
    <t>Income after interest and tax</t>
  </si>
  <si>
    <t>Accounting fee</t>
  </si>
  <si>
    <t>Audit fee</t>
  </si>
  <si>
    <t>Year3</t>
  </si>
  <si>
    <t>Fixed cost</t>
  </si>
  <si>
    <t>GST XXX if revenue increases XXXXX in any financial year</t>
  </si>
  <si>
    <t>Corporate tax on profit exceeding XXXXXXX</t>
  </si>
  <si>
    <t>Loan (Capital Required from Investment)</t>
  </si>
  <si>
    <t>Advertising (print, broadcast and Internet)</t>
  </si>
  <si>
    <t>Business Insurance</t>
  </si>
  <si>
    <t>Employee Salaries and Commissions</t>
  </si>
  <si>
    <t>Franchise Fee</t>
  </si>
  <si>
    <t>Legal/Accounting Fees</t>
  </si>
  <si>
    <t>Postage/Shipping Costs</t>
  </si>
  <si>
    <t>Travel</t>
  </si>
  <si>
    <t>Website Hosting/Maintenance</t>
  </si>
  <si>
    <t>Supplies</t>
  </si>
  <si>
    <t>Advertising for Opening</t>
  </si>
  <si>
    <t>Basic Website</t>
  </si>
  <si>
    <t>Business Entity</t>
  </si>
  <si>
    <t>Computer Hardware/Software</t>
  </si>
  <si>
    <t>Legal/Professional Fees</t>
  </si>
  <si>
    <t>Assumptions: Monthly expenses</t>
  </si>
  <si>
    <t>Annual Subscription Customers</t>
  </si>
  <si>
    <t>Annual Subscription</t>
  </si>
  <si>
    <t>PAYG calls</t>
  </si>
  <si>
    <t>Call duration minutes</t>
  </si>
  <si>
    <t>PAYG</t>
  </si>
  <si>
    <t>Number of minutes</t>
  </si>
  <si>
    <t>Pay calls revenue</t>
  </si>
  <si>
    <t>Number of GP sugeries collaborating</t>
  </si>
  <si>
    <t>GP's sugery collaboration</t>
  </si>
  <si>
    <t>Total sales</t>
  </si>
  <si>
    <t>Cost of GPs (normalized for calls) 1.90</t>
  </si>
  <si>
    <t>Volume</t>
  </si>
  <si>
    <t>Total Cost of GPs</t>
  </si>
  <si>
    <t>Cost of System- Health Navigator (Selected)</t>
  </si>
  <si>
    <t>Cost of system - Data Centre usage</t>
  </si>
  <si>
    <t>Royalty/IP related costs</t>
  </si>
  <si>
    <t>Total Direct cost</t>
  </si>
  <si>
    <t>Subscrption revenue</t>
  </si>
  <si>
    <t>GP's sugery collaboration revenue</t>
  </si>
  <si>
    <t>Gross profit</t>
  </si>
  <si>
    <t>Total direct expenses</t>
  </si>
  <si>
    <t xml:space="preserve">Gross profit </t>
  </si>
  <si>
    <t>Salaries</t>
  </si>
  <si>
    <t>Professional Fees</t>
  </si>
  <si>
    <t>Branding &amp; Marketing</t>
  </si>
  <si>
    <t>Facilities (Rent, Rates, Electricity, Telecomms, Broadband etc.)</t>
  </si>
  <si>
    <t>Compliance &amp; Quality</t>
  </si>
  <si>
    <t>Total operaing expenses</t>
  </si>
  <si>
    <t>Operating profit/loss</t>
  </si>
  <si>
    <t>Direct cost</t>
  </si>
  <si>
    <t>Total Direct Cost</t>
  </si>
  <si>
    <t>Operating Expenses</t>
  </si>
  <si>
    <t>Total operating expenses</t>
  </si>
  <si>
    <t>Operating profit and (loss)</t>
  </si>
  <si>
    <t>Gross profit to sales</t>
  </si>
  <si>
    <t>Operating profit to sales</t>
  </si>
  <si>
    <t>Opening share capital</t>
  </si>
  <si>
    <t>Issue of share capital</t>
  </si>
  <si>
    <t>Closing of share capital</t>
  </si>
  <si>
    <t>Opening balance</t>
  </si>
  <si>
    <t>Additions</t>
  </si>
  <si>
    <t>Payments</t>
  </si>
  <si>
    <t>Net Cash Flow from Share capital</t>
  </si>
  <si>
    <t>Accounts Receivable</t>
  </si>
  <si>
    <t>Closing of account receiveable</t>
  </si>
  <si>
    <t>Account reieveable</t>
  </si>
  <si>
    <t>Closing of account payable</t>
  </si>
  <si>
    <t>Account payable</t>
  </si>
  <si>
    <t>Fixed assets</t>
  </si>
  <si>
    <t>Fixed closing balance</t>
  </si>
  <si>
    <t>`</t>
  </si>
  <si>
    <t>Fixed Assets Cost</t>
  </si>
  <si>
    <t>Depreciaton Expenses</t>
  </si>
  <si>
    <t>Net income</t>
  </si>
  <si>
    <t>Net income /(loss)to sales</t>
  </si>
  <si>
    <t>Total Expenses</t>
  </si>
  <si>
    <t>Net projected total cash flow</t>
  </si>
  <si>
    <t>Net projected monthly operating cash flow</t>
  </si>
  <si>
    <t>Income tax</t>
  </si>
  <si>
    <t>income tax</t>
  </si>
  <si>
    <t>Professional Fees( Icl Legal)</t>
  </si>
  <si>
    <t>Pay As You Go  revenue</t>
  </si>
  <si>
    <t>Cost of IT system -Head Office</t>
  </si>
  <si>
    <t>Cost of System- Mobile IT</t>
  </si>
  <si>
    <t>Salaries (General Staff @ 40K)</t>
  </si>
  <si>
    <t>Total Cost of GPs (Fees + costs)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</si>
</sst>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 &quot;[$$-409]* #,##0&quot; &quot;;&quot; &quot;[$$-409]* \(#,##0\);&quot; &quot;[$$-409]* &quot;-&quot;??&quot; &quot;"/>
    <numFmt numFmtId="179" formatCode="&quot; &quot;[$£-809]* #,##0&quot; &quot;;&quot;-&quot;[$£-809]* #,##0&quot; &quot;;&quot; &quot;[$£-809]* &quot;-&quot;??&quot; &quot;"/>
    <numFmt numFmtId="180" formatCode="&quot; &quot;[$£-809]* #,##0.00&quot; &quot;;&quot;-&quot;[$£-809]* #,##0.00&quot; &quot;;&quot; &quot;[$£-809]* &quot;-&quot;??&quot; &quot;"/>
    <numFmt numFmtId="181" formatCode="#,##0&quot; &quot;;\(#,##0\)"/>
    <numFmt numFmtId="182" formatCode="&quot; &quot;* #,##0&quot; &quot;;&quot; &quot;* \(#,##0\);&quot; &quot;* &quot;- &quot;"/>
    <numFmt numFmtId="183" formatCode="&quot; &quot;* #,##0.00&quot; &quot;;&quot; &quot;* \(#,##0.00\);&quot; &quot;* &quot;-&quot;??&quot; &quot;"/>
    <numFmt numFmtId="184" formatCode="&quot; &quot;* #,##0&quot; &quot;;&quot; &quot;* \(#,##0\);&quot; &quot;* &quot;-&quot;??&quot; &quot;"/>
    <numFmt numFmtId="185" formatCode="[$$-409]#,##0"/>
    <numFmt numFmtId="186" formatCode="&quot;£&quot;#,##0.00"/>
    <numFmt numFmtId="187" formatCode="[$£-809]#,##0"/>
    <numFmt numFmtId="188" formatCode="[$-4409]dddd\,\ d\ mmmm\ yyyy"/>
    <numFmt numFmtId="189" formatCode="[$-409]h:mm:ss\ AM/PM"/>
    <numFmt numFmtId="190" formatCode="0.0"/>
    <numFmt numFmtId="191" formatCode="0.0%"/>
    <numFmt numFmtId="192" formatCode="_(* #,##0_);_(* \(#,##0\);_(* &quot;-&quot;??_);_(@_)"/>
    <numFmt numFmtId="193" formatCode="_-[$£-809]* #,##0.00_-;\-[$£-809]* #,##0.00_-;_-[$£-809]* &quot;-&quot;??_-;_-@_-"/>
    <numFmt numFmtId="194" formatCode="0.0000000000000000%"/>
    <numFmt numFmtId="195" formatCode="0.00000000000000%"/>
    <numFmt numFmtId="196" formatCode="_(* #,##0.00000000000000_);_(* \(#,##0.00000000000000\);_(* &quot;-&quot;??????????????_);_(@_)"/>
    <numFmt numFmtId="197" formatCode="[$RM-43E]#,##0.00"/>
    <numFmt numFmtId="198" formatCode="_([$RM-43E]* #,##0.0_);_([$RM-43E]* \(#,##0.0\);_([$RM-43E]* &quot;-&quot;?_);_(@_)"/>
    <numFmt numFmtId="199" formatCode="[$RM-43E]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_(* #,##0.0_);_(* \(#,##0.0\);_(* &quot;-&quot;??_);_(@_)"/>
    <numFmt numFmtId="206" formatCode="_([$RM-43E]* #,##0.00_);_([$RM-43E]* \(#,##0.00\);_([$RM-43E]* &quot;-&quot;??_);_(@_)"/>
    <numFmt numFmtId="207" formatCode="_([$RM-43E]* #,##0_);_([$RM-43E]* \(#,##0\);_([$RM-43E]* &quot;-&quot;_);_(@_)"/>
    <numFmt numFmtId="208" formatCode="[$-409]dddd\,\ mmmm\ dd\,\ yyyy"/>
    <numFmt numFmtId="209" formatCode="&quot;$&quot;#,##0.00"/>
    <numFmt numFmtId="210" formatCode="[$$-C09]#,##0.00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  <numFmt numFmtId="213" formatCode="_(* #,##0.0_);_(* \(#,##0.0\);_(* &quot;-&quot;?_);_(@_)"/>
    <numFmt numFmtId="214" formatCode="_-[$£-809]* #,##0.0_-;\-[$£-809]* #,##0.0_-;_-[$£-809]* &quot;-&quot;??_-;_-@_-"/>
    <numFmt numFmtId="215" formatCode="_-[$£-809]* #,##0_-;\-[$£-809]* #,##0_-;_-[$£-809]* &quot;-&quot;??_-;_-@_-"/>
    <numFmt numFmtId="216" formatCode="_-[$£-809]* #,##0_-;\-[$£-809]* #,##0_-;_-[$£-809]* &quot;-&quot;_-;_-@_-"/>
    <numFmt numFmtId="217" formatCode="[$-409]d/mmm;@"/>
    <numFmt numFmtId="218" formatCode="_-* #,##0_-;\-* #,##0_-;_-* &quot;-&quot;??_-;_-@_-"/>
    <numFmt numFmtId="219" formatCode="0.0000"/>
    <numFmt numFmtId="220" formatCode="0.000"/>
    <numFmt numFmtId="221" formatCode="_-[$£-491]* #,##0_-;\-[$£-491]* #,##0_-;_-[$£-491]* &quot;-&quot;_-;_-@_-"/>
    <numFmt numFmtId="222" formatCode="_-[$£-452]* #,##0.00_-;\-[$£-452]* #,##0.00_-;_-[$£-452]* &quot;-&quot;??_-;_-@_-"/>
    <numFmt numFmtId="223" formatCode="_ [$¥-804]* #,##0.00_ ;_ [$¥-804]* \-#,##0.00_ ;_ [$¥-804]* &quot;-&quot;??_ ;_ @_ "/>
  </numFmts>
  <fonts count="7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2"/>
      <name val="Verdana"/>
      <family val="2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20"/>
      <color indexed="12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23"/>
      <name val="Verdana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color indexed="8"/>
      <name val="Helvetica Neue"/>
      <family val="0"/>
    </font>
    <font>
      <sz val="10"/>
      <name val="Open Sans"/>
      <family val="2"/>
    </font>
    <font>
      <b/>
      <sz val="14"/>
      <color indexed="8"/>
      <name val="Calibri"/>
      <family val="2"/>
    </font>
    <font>
      <sz val="9"/>
      <color indexed="15"/>
      <name val="Calibri"/>
      <family val="0"/>
    </font>
    <font>
      <sz val="8.25"/>
      <color indexed="15"/>
      <name val="Calibri"/>
      <family val="0"/>
    </font>
    <font>
      <sz val="11"/>
      <color indexed="9"/>
      <name val="Helvetica Neue"/>
      <family val="2"/>
    </font>
    <font>
      <sz val="11"/>
      <color indexed="36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4"/>
      <name val="Helvetica Neue"/>
      <family val="2"/>
    </font>
    <font>
      <sz val="11"/>
      <color indexed="58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b/>
      <sz val="18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indexed="18"/>
      <name val="Helvetica Neue"/>
      <family val="2"/>
    </font>
    <font>
      <b/>
      <sz val="12"/>
      <color indexed="9"/>
      <name val="Helvetica Neue"/>
      <family val="2"/>
    </font>
    <font>
      <sz val="10"/>
      <color indexed="24"/>
      <name val="Open Sans"/>
      <family val="2"/>
    </font>
    <font>
      <b/>
      <sz val="12"/>
      <color indexed="8"/>
      <name val="Helvetica Neue"/>
      <family val="2"/>
    </font>
    <font>
      <sz val="10"/>
      <name val="Helvetica Neue"/>
      <family val="2"/>
    </font>
    <font>
      <sz val="11"/>
      <color indexed="17"/>
      <name val="Helvetica Neue"/>
      <family val="2"/>
    </font>
    <font>
      <sz val="14"/>
      <color indexed="15"/>
      <name val="Calibri"/>
      <family val="0"/>
    </font>
    <font>
      <b/>
      <sz val="10"/>
      <color indexed="8"/>
      <name val="Helvetica Neue"/>
      <family val="0"/>
    </font>
    <font>
      <b/>
      <sz val="18"/>
      <color indexed="8"/>
      <name val="Helvetica Neue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b/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b/>
      <sz val="12"/>
      <color theme="0"/>
      <name val="Helvetica Neue"/>
      <family val="2"/>
    </font>
    <font>
      <sz val="10"/>
      <color rgb="FF707276"/>
      <name val="Open Sans"/>
      <family val="2"/>
    </font>
    <font>
      <b/>
      <sz val="12"/>
      <color theme="1"/>
      <name val="Helvetica Neue"/>
      <family val="2"/>
    </font>
    <font>
      <sz val="11"/>
      <color theme="1"/>
      <name val="Calibri"/>
      <family val="2"/>
    </font>
    <font>
      <sz val="10"/>
      <color theme="1"/>
      <name val="Helvetica Neue"/>
      <family val="2"/>
    </font>
    <font>
      <sz val="11"/>
      <color rgb="FF0070C0"/>
      <name val="Helvetica Neu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9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9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9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24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0"/>
      </left>
      <right style="thin">
        <color indexed="10"/>
      </right>
      <top style="thin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9"/>
      </bottom>
    </border>
    <border>
      <left style="thin">
        <color indexed="10"/>
      </left>
      <right style="medium">
        <color indexed="8"/>
      </right>
      <top>
        <color indexed="63"/>
      </top>
      <bottom style="thin">
        <color indexed="19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19"/>
      </bottom>
    </border>
    <border>
      <left style="thin"/>
      <right style="thin"/>
      <top style="thin"/>
      <bottom style="thin"/>
    </border>
    <border>
      <left style="thin">
        <color indexed="19"/>
      </left>
      <right style="medium">
        <color indexed="8"/>
      </right>
      <top style="thin">
        <color indexed="19"/>
      </top>
      <bottom style="thin">
        <color indexed="19"/>
      </bottom>
    </border>
    <border>
      <left style="medium">
        <color indexed="8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9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9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19"/>
      </bottom>
    </border>
    <border>
      <left style="thin">
        <color indexed="10"/>
      </left>
      <right style="medium">
        <color indexed="8"/>
      </right>
      <top style="thin">
        <color indexed="19"/>
      </top>
      <bottom style="thin">
        <color indexed="19"/>
      </bottom>
    </border>
    <border>
      <left style="medium">
        <color indexed="8"/>
      </left>
      <right style="thin">
        <color indexed="19"/>
      </right>
      <top style="thin">
        <color indexed="19"/>
      </top>
      <bottom style="thin">
        <color indexed="8"/>
      </bottom>
    </border>
    <border>
      <left style="thin">
        <color indexed="19"/>
      </left>
      <right style="medium">
        <color indexed="8"/>
      </right>
      <top style="thin">
        <color indexed="19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8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10"/>
      </right>
      <top style="medium"/>
      <bottom style="thin">
        <color indexed="10"/>
      </bottom>
    </border>
    <border>
      <left>
        <color indexed="63"/>
      </left>
      <right style="thin">
        <color indexed="10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9"/>
      </bottom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9"/>
      </bottom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9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19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10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hair"/>
      <top style="hair"/>
      <bottom style="hair"/>
    </border>
    <border>
      <left style="thin">
        <color indexed="10"/>
      </left>
      <right style="thin">
        <color indexed="8"/>
      </right>
      <top>
        <color indexed="63"/>
      </top>
      <bottom style="thin">
        <color indexed="10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8" fontId="0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49" fontId="0" fillId="35" borderId="15" xfId="0" applyNumberFormat="1" applyFont="1" applyFill="1" applyBorder="1" applyAlignment="1">
      <alignment vertical="center" wrapText="1"/>
    </xf>
    <xf numFmtId="49" fontId="6" fillId="35" borderId="15" xfId="0" applyNumberFormat="1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178" fontId="0" fillId="35" borderId="13" xfId="0" applyNumberFormat="1" applyFont="1" applyFill="1" applyBorder="1" applyAlignment="1">
      <alignment vertical="center" wrapText="1"/>
    </xf>
    <xf numFmtId="0" fontId="0" fillId="36" borderId="14" xfId="0" applyFont="1" applyFill="1" applyBorder="1" applyAlignment="1">
      <alignment/>
    </xf>
    <xf numFmtId="49" fontId="0" fillId="36" borderId="0" xfId="0" applyNumberFormat="1" applyFont="1" applyFill="1" applyBorder="1" applyAlignment="1">
      <alignment wrapText="1"/>
    </xf>
    <xf numFmtId="0" fontId="0" fillId="35" borderId="16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5" borderId="13" xfId="0" applyNumberFormat="1" applyFont="1" applyFill="1" applyBorder="1" applyAlignment="1">
      <alignment vertical="center"/>
    </xf>
    <xf numFmtId="49" fontId="0" fillId="35" borderId="13" xfId="0" applyNumberFormat="1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49" fontId="8" fillId="35" borderId="13" xfId="0" applyNumberFormat="1" applyFont="1" applyFill="1" applyBorder="1" applyAlignment="1">
      <alignment horizontal="left" vertical="center"/>
    </xf>
    <xf numFmtId="178" fontId="0" fillId="35" borderId="13" xfId="0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/>
    </xf>
    <xf numFmtId="49" fontId="9" fillId="35" borderId="12" xfId="0" applyNumberFormat="1" applyFont="1" applyFill="1" applyBorder="1" applyAlignment="1">
      <alignment/>
    </xf>
    <xf numFmtId="49" fontId="5" fillId="35" borderId="13" xfId="0" applyNumberFormat="1" applyFont="1" applyFill="1" applyBorder="1" applyAlignment="1">
      <alignment horizontal="right" vertical="center"/>
    </xf>
    <xf numFmtId="178" fontId="5" fillId="35" borderId="13" xfId="0" applyNumberFormat="1" applyFont="1" applyFill="1" applyBorder="1" applyAlignment="1">
      <alignment horizontal="right" vertical="center"/>
    </xf>
    <xf numFmtId="178" fontId="5" fillId="35" borderId="13" xfId="0" applyNumberFormat="1" applyFont="1" applyFill="1" applyBorder="1" applyAlignment="1">
      <alignment horizontal="center" vertical="center"/>
    </xf>
    <xf numFmtId="178" fontId="0" fillId="37" borderId="0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178" fontId="0" fillId="35" borderId="12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/>
    </xf>
    <xf numFmtId="49" fontId="10" fillId="34" borderId="14" xfId="0" applyNumberFormat="1" applyFont="1" applyFill="1" applyBorder="1" applyAlignment="1">
      <alignment vertical="center"/>
    </xf>
    <xf numFmtId="178" fontId="10" fillId="34" borderId="0" xfId="0" applyNumberFormat="1" applyFont="1" applyFill="1" applyBorder="1" applyAlignment="1">
      <alignment vertical="center"/>
    </xf>
    <xf numFmtId="0" fontId="10" fillId="34" borderId="0" xfId="0" applyNumberFormat="1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/>
    </xf>
    <xf numFmtId="178" fontId="0" fillId="35" borderId="16" xfId="0" applyNumberFormat="1" applyFont="1" applyFill="1" applyBorder="1" applyAlignment="1">
      <alignment vertical="center"/>
    </xf>
    <xf numFmtId="49" fontId="0" fillId="35" borderId="16" xfId="0" applyNumberFormat="1" applyFont="1" applyFill="1" applyBorder="1" applyAlignment="1">
      <alignment vertical="center"/>
    </xf>
    <xf numFmtId="179" fontId="0" fillId="35" borderId="17" xfId="0" applyNumberFormat="1" applyFont="1" applyFill="1" applyBorder="1" applyAlignment="1">
      <alignment vertical="center"/>
    </xf>
    <xf numFmtId="178" fontId="0" fillId="35" borderId="18" xfId="0" applyNumberFormat="1" applyFont="1" applyFill="1" applyBorder="1" applyAlignment="1">
      <alignment vertical="center"/>
    </xf>
    <xf numFmtId="179" fontId="0" fillId="35" borderId="19" xfId="0" applyNumberFormat="1" applyFont="1" applyFill="1" applyBorder="1" applyAlignment="1">
      <alignment vertical="center"/>
    </xf>
    <xf numFmtId="178" fontId="0" fillId="35" borderId="13" xfId="0" applyNumberFormat="1" applyFont="1" applyFill="1" applyBorder="1" applyAlignment="1">
      <alignment/>
    </xf>
    <xf numFmtId="49" fontId="11" fillId="38" borderId="14" xfId="0" applyNumberFormat="1" applyFont="1" applyFill="1" applyBorder="1" applyAlignment="1">
      <alignment vertical="center"/>
    </xf>
    <xf numFmtId="178" fontId="11" fillId="38" borderId="0" xfId="0" applyNumberFormat="1" applyFont="1" applyFill="1" applyBorder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11" fillId="35" borderId="21" xfId="0" applyNumberFormat="1" applyFont="1" applyFill="1" applyBorder="1" applyAlignment="1">
      <alignment horizontal="center" vertical="center"/>
    </xf>
    <xf numFmtId="178" fontId="5" fillId="35" borderId="22" xfId="0" applyNumberFormat="1" applyFont="1" applyFill="1" applyBorder="1" applyAlignment="1">
      <alignment horizontal="left" vertical="center"/>
    </xf>
    <xf numFmtId="49" fontId="5" fillId="35" borderId="22" xfId="0" applyNumberFormat="1" applyFont="1" applyFill="1" applyBorder="1" applyAlignment="1">
      <alignment horizontal="left"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49" fontId="0" fillId="35" borderId="16" xfId="0" applyNumberFormat="1" applyFont="1" applyFill="1" applyBorder="1" applyAlignment="1">
      <alignment/>
    </xf>
    <xf numFmtId="49" fontId="0" fillId="35" borderId="25" xfId="0" applyNumberFormat="1" applyFont="1" applyFill="1" applyBorder="1" applyAlignment="1">
      <alignment vertical="center"/>
    </xf>
    <xf numFmtId="49" fontId="12" fillId="35" borderId="20" xfId="0" applyNumberFormat="1" applyFont="1" applyFill="1" applyBorder="1" applyAlignment="1">
      <alignment vertical="center"/>
    </xf>
    <xf numFmtId="49" fontId="0" fillId="35" borderId="21" xfId="0" applyNumberFormat="1" applyFont="1" applyFill="1" applyBorder="1" applyAlignment="1">
      <alignment vertical="center"/>
    </xf>
    <xf numFmtId="49" fontId="0" fillId="35" borderId="22" xfId="0" applyNumberFormat="1" applyFont="1" applyFill="1" applyBorder="1" applyAlignment="1">
      <alignment vertical="center"/>
    </xf>
    <xf numFmtId="49" fontId="11" fillId="39" borderId="14" xfId="0" applyNumberFormat="1" applyFont="1" applyFill="1" applyBorder="1" applyAlignment="1">
      <alignment vertical="center"/>
    </xf>
    <xf numFmtId="178" fontId="11" fillId="39" borderId="0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horizontal="left" vertical="center"/>
    </xf>
    <xf numFmtId="178" fontId="0" fillId="35" borderId="26" xfId="0" applyNumberFormat="1" applyFont="1" applyFill="1" applyBorder="1" applyAlignment="1">
      <alignment vertical="center"/>
    </xf>
    <xf numFmtId="178" fontId="0" fillId="35" borderId="27" xfId="0" applyNumberFormat="1" applyFont="1" applyFill="1" applyBorder="1" applyAlignment="1">
      <alignment/>
    </xf>
    <xf numFmtId="49" fontId="9" fillId="35" borderId="13" xfId="0" applyNumberFormat="1" applyFont="1" applyFill="1" applyBorder="1" applyAlignment="1">
      <alignment/>
    </xf>
    <xf numFmtId="178" fontId="0" fillId="35" borderId="14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right" vertical="center"/>
    </xf>
    <xf numFmtId="0" fontId="0" fillId="35" borderId="17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/>
    </xf>
    <xf numFmtId="178" fontId="0" fillId="35" borderId="0" xfId="0" applyNumberFormat="1" applyFont="1" applyFill="1" applyBorder="1" applyAlignment="1">
      <alignment vertical="center"/>
    </xf>
    <xf numFmtId="178" fontId="0" fillId="35" borderId="3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49" fontId="14" fillId="39" borderId="14" xfId="0" applyNumberFormat="1" applyFont="1" applyFill="1" applyBorder="1" applyAlignment="1">
      <alignment vertical="center"/>
    </xf>
    <xf numFmtId="178" fontId="14" fillId="39" borderId="0" xfId="0" applyNumberFormat="1" applyFont="1" applyFill="1" applyBorder="1" applyAlignment="1">
      <alignment vertical="center"/>
    </xf>
    <xf numFmtId="182" fontId="0" fillId="39" borderId="31" xfId="0" applyNumberFormat="1" applyFont="1" applyFill="1" applyBorder="1" applyAlignment="1">
      <alignment vertical="center"/>
    </xf>
    <xf numFmtId="49" fontId="0" fillId="35" borderId="28" xfId="0" applyNumberFormat="1" applyFont="1" applyFill="1" applyBorder="1" applyAlignment="1">
      <alignment vertical="center"/>
    </xf>
    <xf numFmtId="49" fontId="15" fillId="35" borderId="0" xfId="0" applyNumberFormat="1" applyFont="1" applyFill="1" applyBorder="1" applyAlignment="1">
      <alignment horizontal="right" vertical="center"/>
    </xf>
    <xf numFmtId="179" fontId="0" fillId="38" borderId="32" xfId="0" applyNumberFormat="1" applyFont="1" applyFill="1" applyBorder="1" applyAlignment="1">
      <alignment vertical="center"/>
    </xf>
    <xf numFmtId="179" fontId="0" fillId="39" borderId="31" xfId="0" applyNumberFormat="1" applyFont="1" applyFill="1" applyBorder="1" applyAlignment="1">
      <alignment vertical="center"/>
    </xf>
    <xf numFmtId="49" fontId="14" fillId="39" borderId="0" xfId="0" applyNumberFormat="1" applyFont="1" applyFill="1" applyBorder="1" applyAlignment="1">
      <alignment vertical="center"/>
    </xf>
    <xf numFmtId="179" fontId="0" fillId="35" borderId="33" xfId="0" applyNumberFormat="1" applyFont="1" applyFill="1" applyBorder="1" applyAlignment="1">
      <alignment vertical="center"/>
    </xf>
    <xf numFmtId="179" fontId="11" fillId="38" borderId="34" xfId="0" applyNumberFormat="1" applyFont="1" applyFill="1" applyBorder="1" applyAlignment="1">
      <alignment vertical="center"/>
    </xf>
    <xf numFmtId="180" fontId="0" fillId="35" borderId="32" xfId="0" applyNumberFormat="1" applyFont="1" applyFill="1" applyBorder="1" applyAlignment="1">
      <alignment vertical="center"/>
    </xf>
    <xf numFmtId="180" fontId="10" fillId="34" borderId="0" xfId="0" applyNumberFormat="1" applyFont="1" applyFill="1" applyBorder="1" applyAlignment="1">
      <alignment vertical="center"/>
    </xf>
    <xf numFmtId="180" fontId="0" fillId="39" borderId="31" xfId="0" applyNumberFormat="1" applyFont="1" applyFill="1" applyBorder="1" applyAlignment="1">
      <alignment vertical="center"/>
    </xf>
    <xf numFmtId="178" fontId="9" fillId="35" borderId="13" xfId="0" applyNumberFormat="1" applyFont="1" applyFill="1" applyBorder="1" applyAlignment="1">
      <alignment/>
    </xf>
    <xf numFmtId="178" fontId="0" fillId="35" borderId="32" xfId="0" applyNumberFormat="1" applyFont="1" applyFill="1" applyBorder="1" applyAlignment="1">
      <alignment vertical="center"/>
    </xf>
    <xf numFmtId="49" fontId="5" fillId="38" borderId="0" xfId="0" applyNumberFormat="1" applyFont="1" applyFill="1" applyBorder="1" applyAlignment="1">
      <alignment horizontal="right" vertical="center"/>
    </xf>
    <xf numFmtId="182" fontId="5" fillId="38" borderId="0" xfId="0" applyNumberFormat="1" applyFont="1" applyFill="1" applyBorder="1" applyAlignment="1">
      <alignment horizontal="right" vertical="center"/>
    </xf>
    <xf numFmtId="49" fontId="16" fillId="35" borderId="13" xfId="0" applyNumberFormat="1" applyFont="1" applyFill="1" applyBorder="1" applyAlignment="1">
      <alignment vertical="center"/>
    </xf>
    <xf numFmtId="178" fontId="17" fillId="35" borderId="13" xfId="0" applyNumberFormat="1" applyFont="1" applyFill="1" applyBorder="1" applyAlignment="1">
      <alignment vertical="center"/>
    </xf>
    <xf numFmtId="178" fontId="17" fillId="35" borderId="13" xfId="0" applyNumberFormat="1" applyFont="1" applyFill="1" applyBorder="1" applyAlignment="1">
      <alignment horizontal="center" vertical="center"/>
    </xf>
    <xf numFmtId="178" fontId="0" fillId="35" borderId="35" xfId="0" applyNumberFormat="1" applyFont="1" applyFill="1" applyBorder="1" applyAlignment="1">
      <alignment vertical="center"/>
    </xf>
    <xf numFmtId="49" fontId="5" fillId="35" borderId="36" xfId="0" applyNumberFormat="1" applyFont="1" applyFill="1" applyBorder="1" applyAlignment="1">
      <alignment horizontal="right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37" xfId="0" applyNumberFormat="1" applyFont="1" applyFill="1" applyBorder="1" applyAlignment="1">
      <alignment horizontal="center" vertical="center"/>
    </xf>
    <xf numFmtId="178" fontId="0" fillId="35" borderId="38" xfId="0" applyNumberFormat="1" applyFont="1" applyFill="1" applyBorder="1" applyAlignment="1">
      <alignment vertical="center"/>
    </xf>
    <xf numFmtId="178" fontId="0" fillId="35" borderId="39" xfId="0" applyNumberFormat="1" applyFont="1" applyFill="1" applyBorder="1" applyAlignment="1">
      <alignment vertical="center"/>
    </xf>
    <xf numFmtId="178" fontId="0" fillId="35" borderId="40" xfId="0" applyNumberFormat="1" applyFont="1" applyFill="1" applyBorder="1" applyAlignment="1">
      <alignment vertical="center"/>
    </xf>
    <xf numFmtId="49" fontId="5" fillId="35" borderId="41" xfId="0" applyNumberFormat="1" applyFont="1" applyFill="1" applyBorder="1" applyAlignment="1">
      <alignment horizontal="right" vertical="center"/>
    </xf>
    <xf numFmtId="178" fontId="0" fillId="38" borderId="14" xfId="0" applyNumberFormat="1" applyFont="1" applyFill="1" applyBorder="1" applyAlignment="1">
      <alignment vertical="center"/>
    </xf>
    <xf numFmtId="49" fontId="5" fillId="38" borderId="42" xfId="0" applyNumberFormat="1" applyFont="1" applyFill="1" applyBorder="1" applyAlignment="1">
      <alignment horizontal="right" vertical="center"/>
    </xf>
    <xf numFmtId="49" fontId="15" fillId="35" borderId="20" xfId="0" applyNumberFormat="1" applyFont="1" applyFill="1" applyBorder="1" applyAlignment="1">
      <alignment horizontal="right" vertical="center"/>
    </xf>
    <xf numFmtId="49" fontId="0" fillId="35" borderId="13" xfId="0" applyNumberFormat="1" applyFont="1" applyFill="1" applyBorder="1" applyAlignment="1">
      <alignment vertical="center"/>
    </xf>
    <xf numFmtId="178" fontId="5" fillId="35" borderId="36" xfId="0" applyNumberFormat="1" applyFont="1" applyFill="1" applyBorder="1" applyAlignment="1">
      <alignment horizontal="left" vertical="center"/>
    </xf>
    <xf numFmtId="178" fontId="0" fillId="35" borderId="22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178" fontId="0" fillId="38" borderId="0" xfId="0" applyNumberFormat="1" applyFont="1" applyFill="1" applyBorder="1" applyAlignment="1">
      <alignment vertical="center"/>
    </xf>
    <xf numFmtId="178" fontId="12" fillId="35" borderId="20" xfId="0" applyNumberFormat="1" applyFont="1" applyFill="1" applyBorder="1" applyAlignment="1">
      <alignment horizontal="right" vertical="center"/>
    </xf>
    <xf numFmtId="49" fontId="0" fillId="39" borderId="43" xfId="0" applyNumberFormat="1" applyFont="1" applyFill="1" applyBorder="1" applyAlignment="1">
      <alignment vertical="center"/>
    </xf>
    <xf numFmtId="178" fontId="0" fillId="39" borderId="44" xfId="0" applyNumberFormat="1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9" fontId="0" fillId="0" borderId="11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0" fontId="0" fillId="0" borderId="38" xfId="0" applyFont="1" applyBorder="1" applyAlignment="1">
      <alignment/>
    </xf>
    <xf numFmtId="178" fontId="7" fillId="0" borderId="10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/>
    </xf>
    <xf numFmtId="179" fontId="0" fillId="0" borderId="45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178" fontId="0" fillId="0" borderId="13" xfId="0" applyNumberFormat="1" applyFont="1" applyBorder="1" applyAlignment="1">
      <alignment horizontal="left"/>
    </xf>
    <xf numFmtId="178" fontId="0" fillId="0" borderId="14" xfId="0" applyNumberFormat="1" applyFont="1" applyBorder="1" applyAlignment="1">
      <alignment/>
    </xf>
    <xf numFmtId="178" fontId="18" fillId="0" borderId="20" xfId="0" applyNumberFormat="1" applyFont="1" applyBorder="1" applyAlignment="1">
      <alignment/>
    </xf>
    <xf numFmtId="49" fontId="2" fillId="34" borderId="14" xfId="0" applyNumberFormat="1" applyFont="1" applyFill="1" applyBorder="1" applyAlignment="1">
      <alignment horizontal="center"/>
    </xf>
    <xf numFmtId="183" fontId="0" fillId="35" borderId="36" xfId="0" applyNumberFormat="1" applyFont="1" applyFill="1" applyBorder="1" applyAlignment="1">
      <alignment horizontal="left" vertical="center"/>
    </xf>
    <xf numFmtId="49" fontId="0" fillId="0" borderId="46" xfId="0" applyNumberFormat="1" applyFont="1" applyBorder="1" applyAlignment="1">
      <alignment horizontal="left"/>
    </xf>
    <xf numFmtId="17" fontId="0" fillId="0" borderId="13" xfId="0" applyNumberFormat="1" applyFont="1" applyBorder="1" applyAlignment="1">
      <alignment/>
    </xf>
    <xf numFmtId="186" fontId="20" fillId="0" borderId="0" xfId="57" applyNumberFormat="1" applyFont="1" applyFill="1" applyBorder="1" applyAlignment="1">
      <alignment/>
      <protection/>
    </xf>
    <xf numFmtId="186" fontId="21" fillId="0" borderId="0" xfId="57" applyNumberFormat="1" applyFont="1" applyFill="1" applyAlignment="1">
      <alignment/>
      <protection/>
    </xf>
    <xf numFmtId="186" fontId="21" fillId="0" borderId="0" xfId="57" applyNumberFormat="1" applyFont="1" applyFill="1" applyBorder="1" applyAlignment="1">
      <alignment/>
      <protection/>
    </xf>
    <xf numFmtId="186" fontId="7" fillId="0" borderId="0" xfId="57" applyNumberFormat="1" applyFont="1">
      <alignment/>
      <protection/>
    </xf>
    <xf numFmtId="186" fontId="22" fillId="0" borderId="0" xfId="57" applyNumberFormat="1" applyFont="1">
      <alignment/>
      <protection/>
    </xf>
    <xf numFmtId="186" fontId="22" fillId="40" borderId="0" xfId="57" applyNumberFormat="1" applyFont="1" applyFill="1" applyAlignment="1">
      <alignment/>
      <protection/>
    </xf>
    <xf numFmtId="186" fontId="21" fillId="40" borderId="0" xfId="57" applyNumberFormat="1" applyFont="1" applyFill="1" applyBorder="1" applyAlignment="1">
      <alignment/>
      <protection/>
    </xf>
    <xf numFmtId="186" fontId="21" fillId="40" borderId="0" xfId="57" applyNumberFormat="1" applyFont="1" applyFill="1" applyAlignment="1">
      <alignment/>
      <protection/>
    </xf>
    <xf numFmtId="186" fontId="22" fillId="40" borderId="0" xfId="47" applyNumberFormat="1" applyFont="1" applyFill="1" applyBorder="1" applyAlignment="1">
      <alignment/>
    </xf>
    <xf numFmtId="186" fontId="19" fillId="40" borderId="0" xfId="47" applyNumberFormat="1" applyFont="1" applyFill="1" applyBorder="1" applyAlignment="1">
      <alignment horizontal="center"/>
    </xf>
    <xf numFmtId="186" fontId="23" fillId="40" borderId="0" xfId="47" applyNumberFormat="1" applyFont="1" applyFill="1" applyBorder="1" applyAlignment="1">
      <alignment horizontal="center"/>
    </xf>
    <xf numFmtId="186" fontId="19" fillId="40" borderId="0" xfId="47" applyNumberFormat="1" applyFont="1" applyFill="1" applyAlignment="1">
      <alignment wrapText="1"/>
    </xf>
    <xf numFmtId="186" fontId="19" fillId="40" borderId="0" xfId="47" applyNumberFormat="1" applyFont="1" applyFill="1" applyBorder="1" applyAlignment="1">
      <alignment wrapText="1"/>
    </xf>
    <xf numFmtId="186" fontId="22" fillId="40" borderId="0" xfId="47" applyNumberFormat="1" applyFont="1" applyFill="1" applyAlignment="1">
      <alignment wrapText="1"/>
    </xf>
    <xf numFmtId="186" fontId="22" fillId="40" borderId="0" xfId="47" applyNumberFormat="1" applyFont="1" applyFill="1" applyBorder="1" applyAlignment="1">
      <alignment wrapText="1"/>
    </xf>
    <xf numFmtId="186" fontId="7" fillId="40" borderId="0" xfId="57" applyNumberFormat="1" applyFont="1" applyFill="1">
      <alignment/>
      <protection/>
    </xf>
    <xf numFmtId="186" fontId="21" fillId="40" borderId="0" xfId="47" applyNumberFormat="1" applyFont="1" applyFill="1" applyAlignment="1">
      <alignment wrapText="1"/>
    </xf>
    <xf numFmtId="186" fontId="21" fillId="40" borderId="0" xfId="47" applyNumberFormat="1" applyFont="1" applyFill="1" applyBorder="1" applyAlignment="1">
      <alignment wrapText="1"/>
    </xf>
    <xf numFmtId="186" fontId="7" fillId="40" borderId="0" xfId="47" applyNumberFormat="1" applyFont="1" applyFill="1" applyAlignment="1">
      <alignment/>
    </xf>
    <xf numFmtId="186" fontId="19" fillId="40" borderId="0" xfId="47" applyNumberFormat="1" applyFont="1" applyFill="1" applyBorder="1" applyAlignment="1" applyProtection="1">
      <alignment wrapText="1"/>
      <protection/>
    </xf>
    <xf numFmtId="186" fontId="22" fillId="40" borderId="0" xfId="47" applyNumberFormat="1" applyFont="1" applyFill="1" applyBorder="1" applyAlignment="1" applyProtection="1">
      <alignment wrapText="1"/>
      <protection/>
    </xf>
    <xf numFmtId="186" fontId="22" fillId="40" borderId="47" xfId="47" applyNumberFormat="1" applyFont="1" applyFill="1" applyBorder="1" applyAlignment="1" applyProtection="1">
      <alignment wrapText="1"/>
      <protection/>
    </xf>
    <xf numFmtId="186" fontId="22" fillId="40" borderId="47" xfId="47" applyNumberFormat="1" applyFont="1" applyFill="1" applyBorder="1" applyAlignment="1">
      <alignment wrapText="1"/>
    </xf>
    <xf numFmtId="186" fontId="19" fillId="40" borderId="0" xfId="47" applyNumberFormat="1" applyFont="1" applyFill="1" applyBorder="1" applyAlignment="1" applyProtection="1">
      <alignment wrapText="1"/>
      <protection/>
    </xf>
    <xf numFmtId="186" fontId="22" fillId="40" borderId="0" xfId="47" applyNumberFormat="1" applyFont="1" applyFill="1" applyBorder="1" applyAlignment="1">
      <alignment horizontal="right" wrapText="1"/>
    </xf>
    <xf numFmtId="186" fontId="22" fillId="40" borderId="47" xfId="47" applyNumberFormat="1" applyFont="1" applyFill="1" applyBorder="1" applyAlignment="1" applyProtection="1">
      <alignment wrapText="1"/>
      <protection locked="0"/>
    </xf>
    <xf numFmtId="186" fontId="19" fillId="40" borderId="48" xfId="47" applyNumberFormat="1" applyFont="1" applyFill="1" applyBorder="1" applyAlignment="1" applyProtection="1">
      <alignment wrapText="1"/>
      <protection/>
    </xf>
    <xf numFmtId="186" fontId="19" fillId="40" borderId="48" xfId="47" applyNumberFormat="1" applyFont="1" applyFill="1" applyBorder="1" applyAlignment="1">
      <alignment wrapText="1"/>
    </xf>
    <xf numFmtId="186" fontId="19" fillId="40" borderId="0" xfId="47" applyNumberFormat="1" applyFont="1" applyFill="1" applyAlignment="1" applyProtection="1">
      <alignment/>
      <protection/>
    </xf>
    <xf numFmtId="186" fontId="19" fillId="40" borderId="0" xfId="47" applyNumberFormat="1" applyFont="1" applyFill="1" applyAlignment="1" applyProtection="1">
      <alignment wrapText="1"/>
      <protection/>
    </xf>
    <xf numFmtId="186" fontId="24" fillId="40" borderId="0" xfId="47" applyNumberFormat="1" applyFont="1" applyFill="1" applyAlignment="1">
      <alignment/>
    </xf>
    <xf numFmtId="186" fontId="24" fillId="0" borderId="0" xfId="57" applyNumberFormat="1" applyFont="1">
      <alignment/>
      <protection/>
    </xf>
    <xf numFmtId="186" fontId="19" fillId="40" borderId="47" xfId="47" applyNumberFormat="1" applyFont="1" applyFill="1" applyBorder="1" applyAlignment="1" applyProtection="1">
      <alignment wrapText="1"/>
      <protection/>
    </xf>
    <xf numFmtId="186" fontId="22" fillId="0" borderId="0" xfId="57" applyNumberFormat="1" applyFont="1" applyFill="1" applyBorder="1" applyAlignment="1">
      <alignment/>
      <protection/>
    </xf>
    <xf numFmtId="3" fontId="0" fillId="38" borderId="11" xfId="0" applyNumberFormat="1" applyFont="1" applyFill="1" applyBorder="1" applyAlignment="1">
      <alignment vertical="center"/>
    </xf>
    <xf numFmtId="3" fontId="0" fillId="35" borderId="49" xfId="0" applyNumberFormat="1" applyFont="1" applyFill="1" applyBorder="1" applyAlignment="1">
      <alignment vertical="center"/>
    </xf>
    <xf numFmtId="3" fontId="0" fillId="35" borderId="50" xfId="0" applyNumberFormat="1" applyFont="1" applyFill="1" applyBorder="1" applyAlignment="1">
      <alignment vertical="center"/>
    </xf>
    <xf numFmtId="3" fontId="0" fillId="35" borderId="5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52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horizontal="center" vertical="center"/>
    </xf>
    <xf numFmtId="3" fontId="0" fillId="35" borderId="54" xfId="0" applyNumberFormat="1" applyFont="1" applyFill="1" applyBorder="1" applyAlignment="1">
      <alignment vertical="center"/>
    </xf>
    <xf numFmtId="3" fontId="0" fillId="35" borderId="55" xfId="0" applyNumberFormat="1" applyFont="1" applyFill="1" applyBorder="1" applyAlignment="1">
      <alignment vertical="center"/>
    </xf>
    <xf numFmtId="3" fontId="0" fillId="35" borderId="56" xfId="0" applyNumberFormat="1" applyFont="1" applyFill="1" applyBorder="1" applyAlignment="1">
      <alignment vertical="center"/>
    </xf>
    <xf numFmtId="49" fontId="0" fillId="35" borderId="25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71" fillId="41" borderId="57" xfId="0" applyFont="1" applyFill="1" applyBorder="1" applyAlignment="1">
      <alignment horizontal="center" vertical="center"/>
    </xf>
    <xf numFmtId="194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98" fontId="0" fillId="0" borderId="57" xfId="42" applyNumberFormat="1" applyFont="1" applyBorder="1" applyAlignment="1">
      <alignment/>
    </xf>
    <xf numFmtId="49" fontId="0" fillId="35" borderId="15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0" fillId="0" borderId="0" xfId="0" applyNumberFormat="1" applyFont="1" applyAlignment="1">
      <alignment/>
    </xf>
    <xf numFmtId="178" fontId="0" fillId="35" borderId="13" xfId="0" applyNumberFormat="1" applyFont="1" applyFill="1" applyBorder="1" applyAlignment="1">
      <alignment vertical="center"/>
    </xf>
    <xf numFmtId="192" fontId="0" fillId="35" borderId="17" xfId="42" applyNumberFormat="1" applyFont="1" applyFill="1" applyBorder="1" applyAlignment="1">
      <alignment vertical="center"/>
    </xf>
    <xf numFmtId="192" fontId="0" fillId="35" borderId="58" xfId="42" applyNumberFormat="1" applyFont="1" applyFill="1" applyBorder="1" applyAlignment="1">
      <alignment vertical="center"/>
    </xf>
    <xf numFmtId="192" fontId="0" fillId="35" borderId="59" xfId="42" applyNumberFormat="1" applyFont="1" applyFill="1" applyBorder="1" applyAlignment="1">
      <alignment vertical="center"/>
    </xf>
    <xf numFmtId="192" fontId="0" fillId="35" borderId="60" xfId="42" applyNumberFormat="1" applyFont="1" applyFill="1" applyBorder="1" applyAlignment="1">
      <alignment vertical="center"/>
    </xf>
    <xf numFmtId="192" fontId="0" fillId="35" borderId="61" xfId="42" applyNumberFormat="1" applyFont="1" applyFill="1" applyBorder="1" applyAlignment="1">
      <alignment vertical="center"/>
    </xf>
    <xf numFmtId="192" fontId="0" fillId="35" borderId="62" xfId="42" applyNumberFormat="1" applyFont="1" applyFill="1" applyBorder="1" applyAlignment="1">
      <alignment vertical="center"/>
    </xf>
    <xf numFmtId="192" fontId="0" fillId="35" borderId="63" xfId="42" applyNumberFormat="1" applyFont="1" applyFill="1" applyBorder="1" applyAlignment="1">
      <alignment vertical="center"/>
    </xf>
    <xf numFmtId="192" fontId="0" fillId="35" borderId="64" xfId="42" applyNumberFormat="1" applyFont="1" applyFill="1" applyBorder="1" applyAlignment="1">
      <alignment vertical="center"/>
    </xf>
    <xf numFmtId="192" fontId="5" fillId="35" borderId="11" xfId="42" applyNumberFormat="1" applyFont="1" applyFill="1" applyBorder="1" applyAlignment="1">
      <alignment horizontal="left" vertical="top"/>
    </xf>
    <xf numFmtId="192" fontId="5" fillId="35" borderId="37" xfId="42" applyNumberFormat="1" applyFont="1" applyFill="1" applyBorder="1" applyAlignment="1">
      <alignment horizontal="left" vertical="top"/>
    </xf>
    <xf numFmtId="192" fontId="0" fillId="35" borderId="65" xfId="42" applyNumberFormat="1" applyFont="1" applyFill="1" applyBorder="1" applyAlignment="1">
      <alignment vertical="center"/>
    </xf>
    <xf numFmtId="192" fontId="0" fillId="35" borderId="19" xfId="42" applyNumberFormat="1" applyFont="1" applyFill="1" applyBorder="1" applyAlignment="1">
      <alignment vertical="center"/>
    </xf>
    <xf numFmtId="192" fontId="0" fillId="35" borderId="66" xfId="42" applyNumberFormat="1" applyFont="1" applyFill="1" applyBorder="1" applyAlignment="1">
      <alignment vertical="center"/>
    </xf>
    <xf numFmtId="192" fontId="0" fillId="38" borderId="67" xfId="42" applyNumberFormat="1" applyFont="1" applyFill="1" applyBorder="1" applyAlignment="1">
      <alignment vertical="center"/>
    </xf>
    <xf numFmtId="192" fontId="0" fillId="38" borderId="32" xfId="42" applyNumberFormat="1" applyFont="1" applyFill="1" applyBorder="1" applyAlignment="1">
      <alignment vertical="center"/>
    </xf>
    <xf numFmtId="192" fontId="0" fillId="38" borderId="68" xfId="42" applyNumberFormat="1" applyFont="1" applyFill="1" applyBorder="1" applyAlignment="1">
      <alignment vertical="center"/>
    </xf>
    <xf numFmtId="192" fontId="0" fillId="35" borderId="20" xfId="42" applyNumberFormat="1" applyFont="1" applyFill="1" applyBorder="1" applyAlignment="1">
      <alignment vertical="center"/>
    </xf>
    <xf numFmtId="192" fontId="0" fillId="35" borderId="69" xfId="42" applyNumberFormat="1" applyFont="1" applyFill="1" applyBorder="1" applyAlignment="1">
      <alignment vertical="center"/>
    </xf>
    <xf numFmtId="192" fontId="0" fillId="35" borderId="70" xfId="42" applyNumberFormat="1" applyFont="1" applyFill="1" applyBorder="1" applyAlignment="1">
      <alignment vertical="center"/>
    </xf>
    <xf numFmtId="192" fontId="10" fillId="34" borderId="0" xfId="42" applyNumberFormat="1" applyFont="1" applyFill="1" applyBorder="1" applyAlignment="1">
      <alignment vertical="center"/>
    </xf>
    <xf numFmtId="192" fontId="10" fillId="34" borderId="52" xfId="42" applyNumberFormat="1" applyFont="1" applyFill="1" applyBorder="1" applyAlignment="1">
      <alignment vertical="center"/>
    </xf>
    <xf numFmtId="192" fontId="10" fillId="34" borderId="53" xfId="42" applyNumberFormat="1" applyFont="1" applyFill="1" applyBorder="1" applyAlignment="1">
      <alignment vertical="center"/>
    </xf>
    <xf numFmtId="192" fontId="0" fillId="35" borderId="54" xfId="42" applyNumberFormat="1" applyFont="1" applyFill="1" applyBorder="1" applyAlignment="1">
      <alignment vertical="center"/>
    </xf>
    <xf numFmtId="192" fontId="0" fillId="35" borderId="55" xfId="42" applyNumberFormat="1" applyFont="1" applyFill="1" applyBorder="1" applyAlignment="1">
      <alignment vertical="center"/>
    </xf>
    <xf numFmtId="192" fontId="0" fillId="35" borderId="56" xfId="42" applyNumberFormat="1" applyFont="1" applyFill="1" applyBorder="1" applyAlignment="1">
      <alignment vertical="center"/>
    </xf>
    <xf numFmtId="192" fontId="0" fillId="0" borderId="0" xfId="0" applyNumberFormat="1" applyFont="1" applyAlignment="1">
      <alignment/>
    </xf>
    <xf numFmtId="186" fontId="22" fillId="40" borderId="0" xfId="47" applyNumberFormat="1" applyFont="1" applyFill="1" applyBorder="1" applyAlignment="1" applyProtection="1">
      <alignment wrapText="1"/>
      <protection/>
    </xf>
    <xf numFmtId="0" fontId="73" fillId="0" borderId="0" xfId="0" applyFont="1" applyFill="1" applyBorder="1" applyAlignment="1">
      <alignment horizontal="center" vertical="center"/>
    </xf>
    <xf numFmtId="0" fontId="74" fillId="0" borderId="71" xfId="0" applyFont="1" applyFill="1" applyBorder="1" applyAlignment="1">
      <alignment horizontal="center"/>
    </xf>
    <xf numFmtId="198" fontId="3" fillId="0" borderId="57" xfId="0" applyNumberFormat="1" applyFont="1" applyBorder="1" applyAlignment="1">
      <alignment/>
    </xf>
    <xf numFmtId="9" fontId="0" fillId="0" borderId="0" xfId="60" applyFont="1" applyAlignment="1">
      <alignment horizontal="center"/>
    </xf>
    <xf numFmtId="192" fontId="0" fillId="0" borderId="0" xfId="42" applyNumberFormat="1" applyFont="1" applyAlignment="1">
      <alignment horizontal="center"/>
    </xf>
    <xf numFmtId="17" fontId="0" fillId="0" borderId="57" xfId="0" applyNumberFormat="1" applyBorder="1" applyAlignment="1">
      <alignment/>
    </xf>
    <xf numFmtId="49" fontId="0" fillId="17" borderId="36" xfId="0" applyNumberFormat="1" applyFont="1" applyFill="1" applyBorder="1" applyAlignment="1">
      <alignment horizontal="left" vertical="center"/>
    </xf>
    <xf numFmtId="49" fontId="0" fillId="38" borderId="0" xfId="0" applyNumberFormat="1" applyFont="1" applyFill="1" applyBorder="1" applyAlignment="1">
      <alignment vertical="center"/>
    </xf>
    <xf numFmtId="192" fontId="0" fillId="0" borderId="0" xfId="42" applyNumberFormat="1" applyFont="1" applyAlignment="1">
      <alignment/>
    </xf>
    <xf numFmtId="178" fontId="0" fillId="35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192" fontId="0" fillId="0" borderId="0" xfId="42" applyNumberFormat="1" applyFont="1" applyAlignment="1">
      <alignment/>
    </xf>
    <xf numFmtId="49" fontId="0" fillId="35" borderId="72" xfId="0" applyNumberFormat="1" applyFill="1" applyBorder="1" applyAlignment="1">
      <alignment vertical="center" wrapText="1"/>
    </xf>
    <xf numFmtId="9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178" fontId="5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49" fontId="11" fillId="35" borderId="22" xfId="0" applyNumberFormat="1" applyFont="1" applyFill="1" applyBorder="1" applyAlignment="1">
      <alignment horizontal="left" vertical="center"/>
    </xf>
    <xf numFmtId="192" fontId="0" fillId="35" borderId="13" xfId="42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 horizontal="left" vertical="center"/>
    </xf>
    <xf numFmtId="49" fontId="27" fillId="42" borderId="15" xfId="0" applyNumberFormat="1" applyFont="1" applyFill="1" applyBorder="1" applyAlignment="1">
      <alignment vertical="center" wrapText="1"/>
    </xf>
    <xf numFmtId="192" fontId="0" fillId="35" borderId="24" xfId="42" applyNumberFormat="1" applyFont="1" applyFill="1" applyBorder="1" applyAlignment="1">
      <alignment/>
    </xf>
    <xf numFmtId="212" fontId="0" fillId="37" borderId="33" xfId="45" applyNumberFormat="1" applyFont="1" applyFill="1" applyBorder="1" applyAlignment="1">
      <alignment vertical="center"/>
    </xf>
    <xf numFmtId="212" fontId="0" fillId="37" borderId="73" xfId="45" applyNumberFormat="1" applyFont="1" applyFill="1" applyBorder="1" applyAlignment="1">
      <alignment vertical="center"/>
    </xf>
    <xf numFmtId="212" fontId="0" fillId="37" borderId="74" xfId="45" applyNumberFormat="1" applyFont="1" applyFill="1" applyBorder="1" applyAlignment="1">
      <alignment vertical="center"/>
    </xf>
    <xf numFmtId="212" fontId="0" fillId="35" borderId="20" xfId="45" applyNumberFormat="1" applyFont="1" applyFill="1" applyBorder="1" applyAlignment="1">
      <alignment vertical="center"/>
    </xf>
    <xf numFmtId="212" fontId="10" fillId="34" borderId="31" xfId="45" applyNumberFormat="1" applyFont="1" applyFill="1" applyBorder="1" applyAlignment="1">
      <alignment vertical="center"/>
    </xf>
    <xf numFmtId="212" fontId="0" fillId="35" borderId="17" xfId="45" applyNumberFormat="1" applyFont="1" applyFill="1" applyBorder="1" applyAlignment="1">
      <alignment vertical="center"/>
    </xf>
    <xf numFmtId="212" fontId="0" fillId="35" borderId="45" xfId="45" applyNumberFormat="1" applyFont="1" applyFill="1" applyBorder="1" applyAlignment="1">
      <alignment/>
    </xf>
    <xf numFmtId="212" fontId="0" fillId="0" borderId="16" xfId="45" applyNumberFormat="1" applyFont="1" applyFill="1" applyBorder="1" applyAlignment="1">
      <alignment/>
    </xf>
    <xf numFmtId="212" fontId="0" fillId="35" borderId="13" xfId="0" applyNumberFormat="1" applyFont="1" applyFill="1" applyBorder="1" applyAlignment="1">
      <alignment/>
    </xf>
    <xf numFmtId="212" fontId="0" fillId="0" borderId="13" xfId="0" applyNumberFormat="1" applyFont="1" applyFill="1" applyBorder="1" applyAlignment="1">
      <alignment/>
    </xf>
    <xf numFmtId="17" fontId="0" fillId="0" borderId="1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212" fontId="0" fillId="0" borderId="0" xfId="45" applyNumberFormat="1" applyFont="1" applyFill="1" applyBorder="1" applyAlignment="1">
      <alignment/>
    </xf>
    <xf numFmtId="212" fontId="0" fillId="0" borderId="0" xfId="45" applyNumberFormat="1" applyFont="1" applyFill="1" applyBorder="1" applyAlignment="1">
      <alignment vertical="center"/>
    </xf>
    <xf numFmtId="212" fontId="10" fillId="0" borderId="0" xfId="45" applyNumberFormat="1" applyFont="1" applyFill="1" applyBorder="1" applyAlignment="1">
      <alignment vertical="center"/>
    </xf>
    <xf numFmtId="212" fontId="0" fillId="0" borderId="0" xfId="45" applyNumberFormat="1" applyFont="1" applyFill="1" applyBorder="1" applyAlignment="1">
      <alignment/>
    </xf>
    <xf numFmtId="212" fontId="3" fillId="0" borderId="0" xfId="45" applyNumberFormat="1" applyFont="1" applyFill="1" applyBorder="1" applyAlignment="1">
      <alignment/>
    </xf>
    <xf numFmtId="212" fontId="0" fillId="0" borderId="14" xfId="45" applyNumberFormat="1" applyFont="1" applyFill="1" applyBorder="1" applyAlignment="1">
      <alignment vertical="center"/>
    </xf>
    <xf numFmtId="212" fontId="0" fillId="0" borderId="14" xfId="45" applyNumberFormat="1" applyFont="1" applyFill="1" applyBorder="1" applyAlignment="1">
      <alignment/>
    </xf>
    <xf numFmtId="212" fontId="12" fillId="0" borderId="14" xfId="45" applyNumberFormat="1" applyFont="1" applyFill="1" applyBorder="1" applyAlignment="1">
      <alignment vertical="center"/>
    </xf>
    <xf numFmtId="212" fontId="0" fillId="0" borderId="43" xfId="45" applyNumberFormat="1" applyFont="1" applyFill="1" applyBorder="1" applyAlignment="1">
      <alignment/>
    </xf>
    <xf numFmtId="212" fontId="0" fillId="0" borderId="24" xfId="0" applyNumberFormat="1" applyFont="1" applyFill="1" applyBorder="1" applyAlignment="1">
      <alignment/>
    </xf>
    <xf numFmtId="49" fontId="0" fillId="35" borderId="15" xfId="0" applyNumberFormat="1" applyFont="1" applyFill="1" applyBorder="1" applyAlignment="1">
      <alignment/>
    </xf>
    <xf numFmtId="178" fontId="0" fillId="35" borderId="15" xfId="0" applyNumberFormat="1" applyFont="1" applyFill="1" applyBorder="1" applyAlignment="1">
      <alignment/>
    </xf>
    <xf numFmtId="192" fontId="0" fillId="35" borderId="12" xfId="42" applyNumberFormat="1" applyFont="1" applyFill="1" applyBorder="1" applyAlignment="1">
      <alignment/>
    </xf>
    <xf numFmtId="192" fontId="0" fillId="35" borderId="75" xfId="42" applyNumberFormat="1" applyFont="1" applyFill="1" applyBorder="1" applyAlignment="1">
      <alignment/>
    </xf>
    <xf numFmtId="192" fontId="0" fillId="35" borderId="76" xfId="42" applyNumberFormat="1" applyFont="1" applyFill="1" applyBorder="1" applyAlignment="1">
      <alignment/>
    </xf>
    <xf numFmtId="192" fontId="0" fillId="35" borderId="77" xfId="42" applyNumberFormat="1" applyFont="1" applyFill="1" applyBorder="1" applyAlignment="1">
      <alignment/>
    </xf>
    <xf numFmtId="212" fontId="0" fillId="35" borderId="15" xfId="0" applyNumberFormat="1" applyFont="1" applyFill="1" applyBorder="1" applyAlignment="1">
      <alignment/>
    </xf>
    <xf numFmtId="212" fontId="0" fillId="35" borderId="17" xfId="42" applyNumberFormat="1" applyFont="1" applyFill="1" applyBorder="1" applyAlignment="1">
      <alignment vertical="center"/>
    </xf>
    <xf numFmtId="212" fontId="0" fillId="35" borderId="58" xfId="42" applyNumberFormat="1" applyFont="1" applyFill="1" applyBorder="1" applyAlignment="1">
      <alignment vertical="center"/>
    </xf>
    <xf numFmtId="212" fontId="0" fillId="35" borderId="59" xfId="42" applyNumberFormat="1" applyFont="1" applyFill="1" applyBorder="1" applyAlignment="1">
      <alignment vertical="center"/>
    </xf>
    <xf numFmtId="212" fontId="5" fillId="35" borderId="11" xfId="42" applyNumberFormat="1" applyFont="1" applyFill="1" applyBorder="1" applyAlignment="1">
      <alignment horizontal="left" vertical="top"/>
    </xf>
    <xf numFmtId="212" fontId="5" fillId="35" borderId="37" xfId="42" applyNumberFormat="1" applyFont="1" applyFill="1" applyBorder="1" applyAlignment="1">
      <alignment horizontal="left" vertical="top"/>
    </xf>
    <xf numFmtId="212" fontId="5" fillId="35" borderId="78" xfId="42" applyNumberFormat="1" applyFont="1" applyFill="1" applyBorder="1" applyAlignment="1">
      <alignment horizontal="left" vertical="top"/>
    </xf>
    <xf numFmtId="212" fontId="5" fillId="35" borderId="79" xfId="42" applyNumberFormat="1" applyFont="1" applyFill="1" applyBorder="1" applyAlignment="1">
      <alignment horizontal="left" vertical="top"/>
    </xf>
    <xf numFmtId="212" fontId="0" fillId="35" borderId="19" xfId="42" applyNumberFormat="1" applyFont="1" applyFill="1" applyBorder="1" applyAlignment="1">
      <alignment vertical="top"/>
    </xf>
    <xf numFmtId="212" fontId="0" fillId="35" borderId="66" xfId="42" applyNumberFormat="1" applyFont="1" applyFill="1" applyBorder="1" applyAlignment="1">
      <alignment vertical="top"/>
    </xf>
    <xf numFmtId="212" fontId="0" fillId="35" borderId="65" xfId="42" applyNumberFormat="1" applyFont="1" applyFill="1" applyBorder="1" applyAlignment="1">
      <alignment vertical="center"/>
    </xf>
    <xf numFmtId="212" fontId="0" fillId="35" borderId="19" xfId="42" applyNumberFormat="1" applyFont="1" applyFill="1" applyBorder="1" applyAlignment="1">
      <alignment vertical="center"/>
    </xf>
    <xf numFmtId="212" fontId="0" fillId="35" borderId="66" xfId="42" applyNumberFormat="1" applyFont="1" applyFill="1" applyBorder="1" applyAlignment="1">
      <alignment vertical="center"/>
    </xf>
    <xf numFmtId="212" fontId="0" fillId="35" borderId="80" xfId="42" applyNumberFormat="1" applyFont="1" applyFill="1" applyBorder="1" applyAlignment="1">
      <alignment/>
    </xf>
    <xf numFmtId="212" fontId="0" fillId="35" borderId="35" xfId="42" applyNumberFormat="1" applyFont="1" applyFill="1" applyBorder="1" applyAlignment="1">
      <alignment/>
    </xf>
    <xf numFmtId="212" fontId="0" fillId="35" borderId="81" xfId="42" applyNumberFormat="1" applyFont="1" applyFill="1" applyBorder="1" applyAlignment="1">
      <alignment/>
    </xf>
    <xf numFmtId="212" fontId="0" fillId="35" borderId="17" xfId="42" applyNumberFormat="1" applyFont="1" applyFill="1" applyBorder="1" applyAlignment="1">
      <alignment vertical="top"/>
    </xf>
    <xf numFmtId="212" fontId="0" fillId="35" borderId="82" xfId="42" applyNumberFormat="1" applyFont="1" applyFill="1" applyBorder="1" applyAlignment="1">
      <alignment vertical="top"/>
    </xf>
    <xf numFmtId="212" fontId="5" fillId="35" borderId="83" xfId="42" applyNumberFormat="1" applyFont="1" applyFill="1" applyBorder="1" applyAlignment="1">
      <alignment horizontal="left" vertical="top"/>
    </xf>
    <xf numFmtId="212" fontId="0" fillId="35" borderId="58" xfId="42" applyNumberFormat="1" applyFont="1" applyFill="1" applyBorder="1" applyAlignment="1">
      <alignment vertical="top"/>
    </xf>
    <xf numFmtId="212" fontId="5" fillId="35" borderId="84" xfId="42" applyNumberFormat="1" applyFont="1" applyFill="1" applyBorder="1" applyAlignment="1">
      <alignment horizontal="left" vertical="top"/>
    </xf>
    <xf numFmtId="212" fontId="0" fillId="35" borderId="35" xfId="42" applyNumberFormat="1" applyFont="1" applyFill="1" applyBorder="1" applyAlignment="1">
      <alignment vertical="top"/>
    </xf>
    <xf numFmtId="212" fontId="0" fillId="35" borderId="85" xfId="42" applyNumberFormat="1" applyFont="1" applyFill="1" applyBorder="1" applyAlignment="1">
      <alignment vertical="top"/>
    </xf>
    <xf numFmtId="212" fontId="0" fillId="35" borderId="86" xfId="42" applyNumberFormat="1" applyFont="1" applyFill="1" applyBorder="1" applyAlignment="1">
      <alignment vertical="center"/>
    </xf>
    <xf numFmtId="212" fontId="0" fillId="35" borderId="35" xfId="42" applyNumberFormat="1" applyFont="1" applyFill="1" applyBorder="1" applyAlignment="1">
      <alignment vertical="center"/>
    </xf>
    <xf numFmtId="212" fontId="0" fillId="35" borderId="85" xfId="42" applyNumberFormat="1" applyFont="1" applyFill="1" applyBorder="1" applyAlignment="1">
      <alignment vertical="center"/>
    </xf>
    <xf numFmtId="212" fontId="0" fillId="35" borderId="54" xfId="42" applyNumberFormat="1" applyFont="1" applyFill="1" applyBorder="1" applyAlignment="1">
      <alignment vertical="center"/>
    </xf>
    <xf numFmtId="212" fontId="0" fillId="35" borderId="55" xfId="42" applyNumberFormat="1" applyFont="1" applyFill="1" applyBorder="1" applyAlignment="1">
      <alignment vertical="center"/>
    </xf>
    <xf numFmtId="212" fontId="0" fillId="35" borderId="56" xfId="42" applyNumberFormat="1" applyFont="1" applyFill="1" applyBorder="1" applyAlignment="1">
      <alignment vertical="center"/>
    </xf>
    <xf numFmtId="212" fontId="0" fillId="0" borderId="0" xfId="0" applyNumberFormat="1" applyFont="1" applyAlignment="1">
      <alignment/>
    </xf>
    <xf numFmtId="212" fontId="0" fillId="0" borderId="11" xfId="0" applyNumberFormat="1" applyFont="1" applyBorder="1" applyAlignment="1">
      <alignment horizontal="right"/>
    </xf>
    <xf numFmtId="9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178" fontId="0" fillId="35" borderId="15" xfId="0" applyNumberFormat="1" applyFont="1" applyFill="1" applyBorder="1" applyAlignment="1">
      <alignment vertical="center" wrapText="1"/>
    </xf>
    <xf numFmtId="170" fontId="0" fillId="0" borderId="57" xfId="45" applyFont="1" applyBorder="1" applyAlignment="1">
      <alignment/>
    </xf>
    <xf numFmtId="170" fontId="0" fillId="42" borderId="57" xfId="45" applyFont="1" applyFill="1" applyBorder="1" applyAlignment="1">
      <alignment/>
    </xf>
    <xf numFmtId="192" fontId="0" fillId="0" borderId="0" xfId="42" applyNumberFormat="1" applyFont="1" applyAlignment="1">
      <alignment horizontal="left"/>
    </xf>
    <xf numFmtId="49" fontId="0" fillId="35" borderId="15" xfId="0" applyNumberFormat="1" applyFont="1" applyFill="1" applyBorder="1" applyAlignment="1">
      <alignment vertical="center" wrapText="1"/>
    </xf>
    <xf numFmtId="215" fontId="0" fillId="0" borderId="13" xfId="0" applyNumberFormat="1" applyFont="1" applyBorder="1" applyAlignment="1">
      <alignment/>
    </xf>
    <xf numFmtId="215" fontId="0" fillId="0" borderId="0" xfId="0" applyNumberFormat="1" applyFont="1" applyAlignment="1">
      <alignment/>
    </xf>
    <xf numFmtId="215" fontId="0" fillId="0" borderId="87" xfId="0" applyNumberFormat="1" applyFont="1" applyBorder="1" applyAlignment="1">
      <alignment/>
    </xf>
    <xf numFmtId="215" fontId="0" fillId="0" borderId="88" xfId="0" applyNumberFormat="1" applyFont="1" applyBorder="1" applyAlignment="1">
      <alignment/>
    </xf>
    <xf numFmtId="215" fontId="0" fillId="0" borderId="0" xfId="0" applyNumberFormat="1" applyFont="1" applyBorder="1" applyAlignment="1">
      <alignment/>
    </xf>
    <xf numFmtId="215" fontId="0" fillId="0" borderId="89" xfId="0" applyNumberFormat="1" applyFont="1" applyBorder="1" applyAlignment="1">
      <alignment/>
    </xf>
    <xf numFmtId="215" fontId="0" fillId="0" borderId="16" xfId="0" applyNumberFormat="1" applyFont="1" applyBorder="1" applyAlignment="1">
      <alignment/>
    </xf>
    <xf numFmtId="215" fontId="0" fillId="0" borderId="90" xfId="0" applyNumberFormat="1" applyFont="1" applyBorder="1" applyAlignment="1">
      <alignment/>
    </xf>
    <xf numFmtId="215" fontId="0" fillId="0" borderId="35" xfId="0" applyNumberFormat="1" applyFont="1" applyBorder="1" applyAlignment="1">
      <alignment/>
    </xf>
    <xf numFmtId="215" fontId="0" fillId="0" borderId="11" xfId="0" applyNumberFormat="1" applyFont="1" applyBorder="1" applyAlignment="1">
      <alignment horizontal="center"/>
    </xf>
    <xf numFmtId="215" fontId="0" fillId="17" borderId="11" xfId="45" applyNumberFormat="1" applyFont="1" applyFill="1" applyBorder="1" applyAlignment="1">
      <alignment horizontal="center"/>
    </xf>
    <xf numFmtId="215" fontId="0" fillId="0" borderId="91" xfId="45" applyNumberFormat="1" applyFont="1" applyBorder="1" applyAlignment="1">
      <alignment horizontal="center"/>
    </xf>
    <xf numFmtId="215" fontId="0" fillId="0" borderId="92" xfId="0" applyNumberFormat="1" applyFont="1" applyBorder="1" applyAlignment="1">
      <alignment horizontal="center"/>
    </xf>
    <xf numFmtId="216" fontId="0" fillId="35" borderId="93" xfId="45" applyNumberFormat="1" applyFont="1" applyFill="1" applyBorder="1" applyAlignment="1">
      <alignment/>
    </xf>
    <xf numFmtId="216" fontId="0" fillId="35" borderId="13" xfId="45" applyNumberFormat="1" applyFont="1" applyFill="1" applyBorder="1" applyAlignment="1">
      <alignment/>
    </xf>
    <xf numFmtId="216" fontId="0" fillId="35" borderId="94" xfId="45" applyNumberFormat="1" applyFont="1" applyFill="1" applyBorder="1" applyAlignment="1">
      <alignment/>
    </xf>
    <xf numFmtId="216" fontId="0" fillId="35" borderId="93" xfId="42" applyNumberFormat="1" applyFont="1" applyFill="1" applyBorder="1" applyAlignment="1">
      <alignment/>
    </xf>
    <xf numFmtId="216" fontId="0" fillId="35" borderId="13" xfId="42" applyNumberFormat="1" applyFont="1" applyFill="1" applyBorder="1" applyAlignment="1">
      <alignment/>
    </xf>
    <xf numFmtId="216" fontId="0" fillId="35" borderId="94" xfId="42" applyNumberFormat="1" applyFont="1" applyFill="1" applyBorder="1" applyAlignment="1">
      <alignment/>
    </xf>
    <xf numFmtId="216" fontId="0" fillId="35" borderId="95" xfId="42" applyNumberFormat="1" applyFont="1" applyFill="1" applyBorder="1" applyAlignment="1">
      <alignment/>
    </xf>
    <xf numFmtId="216" fontId="0" fillId="35" borderId="96" xfId="42" applyNumberFormat="1" applyFont="1" applyFill="1" applyBorder="1" applyAlignment="1">
      <alignment/>
    </xf>
    <xf numFmtId="216" fontId="0" fillId="35" borderId="97" xfId="42" applyNumberFormat="1" applyFont="1" applyFill="1" applyBorder="1" applyAlignment="1">
      <alignment/>
    </xf>
    <xf numFmtId="216" fontId="0" fillId="37" borderId="0" xfId="45" applyNumberFormat="1" applyFont="1" applyFill="1" applyBorder="1" applyAlignment="1">
      <alignment vertical="center"/>
    </xf>
    <xf numFmtId="216" fontId="0" fillId="35" borderId="17" xfId="45" applyNumberFormat="1" applyFont="1" applyFill="1" applyBorder="1" applyAlignment="1">
      <alignment vertical="center"/>
    </xf>
    <xf numFmtId="216" fontId="0" fillId="35" borderId="54" xfId="45" applyNumberFormat="1" applyFont="1" applyFill="1" applyBorder="1" applyAlignment="1">
      <alignment/>
    </xf>
    <xf numFmtId="216" fontId="0" fillId="35" borderId="98" xfId="45" applyNumberFormat="1" applyFont="1" applyFill="1" applyBorder="1" applyAlignment="1">
      <alignment vertical="center"/>
    </xf>
    <xf numFmtId="216" fontId="12" fillId="35" borderId="20" xfId="45" applyNumberFormat="1" applyFont="1" applyFill="1" applyBorder="1" applyAlignment="1">
      <alignment vertical="center"/>
    </xf>
    <xf numFmtId="216" fontId="10" fillId="34" borderId="31" xfId="45" applyNumberFormat="1" applyFont="1" applyFill="1" applyBorder="1" applyAlignment="1">
      <alignment vertical="center"/>
    </xf>
    <xf numFmtId="193" fontId="0" fillId="0" borderId="57" xfId="45" applyNumberFormat="1" applyFont="1" applyBorder="1" applyAlignment="1">
      <alignment/>
    </xf>
    <xf numFmtId="193" fontId="0" fillId="42" borderId="57" xfId="45" applyNumberFormat="1" applyFont="1" applyFill="1" applyBorder="1" applyAlignment="1">
      <alignment/>
    </xf>
    <xf numFmtId="193" fontId="0" fillId="0" borderId="0" xfId="45" applyNumberFormat="1" applyFont="1" applyAlignment="1">
      <alignment/>
    </xf>
    <xf numFmtId="0" fontId="0" fillId="0" borderId="99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/>
    </xf>
    <xf numFmtId="0" fontId="49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170" fontId="0" fillId="37" borderId="17" xfId="45" applyFont="1" applyFill="1" applyBorder="1" applyAlignment="1">
      <alignment vertical="center"/>
    </xf>
    <xf numFmtId="212" fontId="0" fillId="35" borderId="13" xfId="45" applyNumberFormat="1" applyFont="1" applyFill="1" applyBorder="1" applyAlignment="1">
      <alignment vertical="center"/>
    </xf>
    <xf numFmtId="212" fontId="0" fillId="37" borderId="17" xfId="45" applyNumberFormat="1" applyFont="1" applyFill="1" applyBorder="1" applyAlignment="1">
      <alignment vertical="center"/>
    </xf>
    <xf numFmtId="212" fontId="5" fillId="35" borderId="11" xfId="45" applyNumberFormat="1" applyFont="1" applyFill="1" applyBorder="1" applyAlignment="1">
      <alignment horizontal="left" vertical="top"/>
    </xf>
    <xf numFmtId="212" fontId="0" fillId="35" borderId="60" xfId="45" applyNumberFormat="1" applyFont="1" applyFill="1" applyBorder="1" applyAlignment="1">
      <alignment vertical="center"/>
    </xf>
    <xf numFmtId="212" fontId="0" fillId="38" borderId="32" xfId="45" applyNumberFormat="1" applyFont="1" applyFill="1" applyBorder="1" applyAlignment="1">
      <alignment vertical="center"/>
    </xf>
    <xf numFmtId="212" fontId="0" fillId="35" borderId="98" xfId="45" applyNumberFormat="1" applyFont="1" applyFill="1" applyBorder="1" applyAlignment="1">
      <alignment vertical="center"/>
    </xf>
    <xf numFmtId="212" fontId="0" fillId="35" borderId="100" xfId="45" applyNumberFormat="1" applyFont="1" applyFill="1" applyBorder="1" applyAlignment="1">
      <alignment vertical="center"/>
    </xf>
    <xf numFmtId="212" fontId="0" fillId="35" borderId="101" xfId="45" applyNumberFormat="1" applyFont="1" applyFill="1" applyBorder="1" applyAlignment="1">
      <alignment vertical="center"/>
    </xf>
    <xf numFmtId="212" fontId="11" fillId="39" borderId="34" xfId="45" applyNumberFormat="1" applyFont="1" applyFill="1" applyBorder="1" applyAlignment="1">
      <alignment vertical="center"/>
    </xf>
    <xf numFmtId="212" fontId="0" fillId="0" borderId="57" xfId="45" applyNumberFormat="1" applyFont="1" applyBorder="1" applyAlignment="1">
      <alignment/>
    </xf>
    <xf numFmtId="212" fontId="22" fillId="40" borderId="0" xfId="47" applyNumberFormat="1" applyFont="1" applyFill="1" applyBorder="1" applyAlignment="1">
      <alignment horizontal="left" wrapText="1"/>
    </xf>
    <xf numFmtId="212" fontId="22" fillId="40" borderId="0" xfId="47" applyNumberFormat="1" applyFont="1" applyFill="1" applyAlignment="1">
      <alignment horizontal="left" wrapText="1"/>
    </xf>
    <xf numFmtId="212" fontId="19" fillId="40" borderId="48" xfId="47" applyNumberFormat="1" applyFont="1" applyFill="1" applyBorder="1" applyAlignment="1">
      <alignment horizontal="left" wrapText="1"/>
    </xf>
    <xf numFmtId="212" fontId="22" fillId="0" borderId="0" xfId="57" applyNumberFormat="1" applyFont="1" applyFill="1" applyBorder="1" applyAlignment="1">
      <alignment/>
      <protection/>
    </xf>
    <xf numFmtId="212" fontId="0" fillId="0" borderId="11" xfId="45" applyNumberFormat="1" applyFont="1" applyBorder="1" applyAlignment="1">
      <alignment horizontal="right"/>
    </xf>
    <xf numFmtId="212" fontId="49" fillId="0" borderId="102" xfId="45" applyNumberFormat="1" applyFont="1" applyBorder="1" applyAlignment="1" applyProtection="1">
      <alignment vertical="center"/>
      <protection locked="0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218" fontId="76" fillId="0" borderId="103" xfId="42" applyNumberFormat="1" applyFont="1" applyFill="1" applyBorder="1" applyAlignment="1">
      <alignment/>
    </xf>
    <xf numFmtId="193" fontId="0" fillId="0" borderId="11" xfId="0" applyNumberFormat="1" applyFont="1" applyFill="1" applyBorder="1" applyAlignment="1">
      <alignment horizontal="center"/>
    </xf>
    <xf numFmtId="215" fontId="0" fillId="0" borderId="11" xfId="0" applyNumberFormat="1" applyFont="1" applyFill="1" applyBorder="1" applyAlignment="1">
      <alignment horizontal="center"/>
    </xf>
    <xf numFmtId="183" fontId="0" fillId="9" borderId="36" xfId="0" applyNumberFormat="1" applyFont="1" applyFill="1" applyBorder="1" applyAlignment="1">
      <alignment horizontal="left" vertical="center"/>
    </xf>
    <xf numFmtId="215" fontId="0" fillId="9" borderId="11" xfId="0" applyNumberFormat="1" applyFont="1" applyFill="1" applyBorder="1" applyAlignment="1">
      <alignment horizontal="center"/>
    </xf>
    <xf numFmtId="215" fontId="0" fillId="0" borderId="11" xfId="45" applyNumberFormat="1" applyFont="1" applyFill="1" applyBorder="1" applyAlignment="1">
      <alignment horizontal="center"/>
    </xf>
    <xf numFmtId="215" fontId="0" fillId="0" borderId="0" xfId="0" applyNumberFormat="1" applyFont="1" applyFill="1" applyAlignment="1">
      <alignment/>
    </xf>
    <xf numFmtId="215" fontId="0" fillId="0" borderId="88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215" fontId="0" fillId="0" borderId="8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left" vertical="center"/>
    </xf>
    <xf numFmtId="183" fontId="0" fillId="0" borderId="104" xfId="0" applyNumberFormat="1" applyFont="1" applyFill="1" applyBorder="1" applyAlignment="1">
      <alignment horizontal="left" vertical="center"/>
    </xf>
    <xf numFmtId="218" fontId="0" fillId="40" borderId="0" xfId="42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9" borderId="0" xfId="0" applyFill="1" applyAlignment="1">
      <alignment/>
    </xf>
    <xf numFmtId="218" fontId="76" fillId="0" borderId="0" xfId="42" applyNumberFormat="1" applyFont="1" applyFill="1" applyBorder="1" applyAlignment="1">
      <alignment/>
    </xf>
    <xf numFmtId="214" fontId="0" fillId="0" borderId="11" xfId="45" applyNumberFormat="1" applyFont="1" applyFill="1" applyBorder="1" applyAlignment="1">
      <alignment horizontal="center"/>
    </xf>
    <xf numFmtId="215" fontId="0" fillId="2" borderId="11" xfId="45" applyNumberFormat="1" applyFont="1" applyFill="1" applyBorder="1" applyAlignment="1">
      <alignment horizontal="center"/>
    </xf>
    <xf numFmtId="192" fontId="0" fillId="40" borderId="0" xfId="42" applyNumberFormat="1" applyFont="1" applyFill="1" applyBorder="1" applyAlignment="1">
      <alignment/>
    </xf>
    <xf numFmtId="212" fontId="0" fillId="0" borderId="0" xfId="45" applyNumberFormat="1" applyFont="1" applyBorder="1" applyAlignment="1">
      <alignment/>
    </xf>
    <xf numFmtId="183" fontId="0" fillId="0" borderId="3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216" fontId="0" fillId="0" borderId="93" xfId="45" applyNumberFormat="1" applyFont="1" applyFill="1" applyBorder="1" applyAlignment="1">
      <alignment/>
    </xf>
    <xf numFmtId="216" fontId="0" fillId="0" borderId="13" xfId="45" applyNumberFormat="1" applyFont="1" applyFill="1" applyBorder="1" applyAlignment="1">
      <alignment/>
    </xf>
    <xf numFmtId="216" fontId="0" fillId="0" borderId="94" xfId="45" applyNumberFormat="1" applyFont="1" applyFill="1" applyBorder="1" applyAlignment="1">
      <alignment/>
    </xf>
    <xf numFmtId="212" fontId="0" fillId="0" borderId="15" xfId="0" applyNumberFormat="1" applyFont="1" applyFill="1" applyBorder="1" applyAlignment="1">
      <alignment/>
    </xf>
    <xf numFmtId="178" fontId="3" fillId="35" borderId="13" xfId="0" applyNumberFormat="1" applyFont="1" applyFill="1" applyBorder="1" applyAlignment="1">
      <alignment vertical="center"/>
    </xf>
    <xf numFmtId="216" fontId="3" fillId="35" borderId="93" xfId="45" applyNumberFormat="1" applyFont="1" applyFill="1" applyBorder="1" applyAlignment="1">
      <alignment/>
    </xf>
    <xf numFmtId="216" fontId="3" fillId="35" borderId="13" xfId="45" applyNumberFormat="1" applyFont="1" applyFill="1" applyBorder="1" applyAlignment="1">
      <alignment/>
    </xf>
    <xf numFmtId="216" fontId="3" fillId="35" borderId="94" xfId="45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212" fontId="3" fillId="0" borderId="11" xfId="45" applyNumberFormat="1" applyFont="1" applyBorder="1" applyAlignment="1">
      <alignment horizontal="right"/>
    </xf>
    <xf numFmtId="178" fontId="0" fillId="0" borderId="4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9" fontId="6" fillId="0" borderId="11" xfId="60" applyFont="1" applyBorder="1" applyAlignment="1">
      <alignment horizontal="right"/>
    </xf>
    <xf numFmtId="49" fontId="0" fillId="35" borderId="22" xfId="0" applyNumberFormat="1" applyFont="1" applyFill="1" applyBorder="1" applyAlignment="1">
      <alignment vertical="center"/>
    </xf>
    <xf numFmtId="218" fontId="76" fillId="32" borderId="105" xfId="42" applyNumberFormat="1" applyFont="1" applyFill="1" applyBorder="1" applyAlignment="1">
      <alignment/>
    </xf>
    <xf numFmtId="218" fontId="76" fillId="40" borderId="105" xfId="42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71" xfId="0" applyFill="1" applyBorder="1" applyAlignment="1">
      <alignment/>
    </xf>
    <xf numFmtId="49" fontId="0" fillId="38" borderId="0" xfId="0" applyNumberFormat="1" applyFont="1" applyFill="1" applyBorder="1" applyAlignment="1">
      <alignment vertical="center"/>
    </xf>
    <xf numFmtId="212" fontId="0" fillId="38" borderId="0" xfId="42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212" fontId="0" fillId="35" borderId="0" xfId="42" applyNumberFormat="1" applyFont="1" applyFill="1" applyBorder="1" applyAlignment="1">
      <alignment vertical="top"/>
    </xf>
    <xf numFmtId="212" fontId="0" fillId="35" borderId="0" xfId="42" applyNumberFormat="1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69" fillId="40" borderId="0" xfId="0" applyFont="1" applyFill="1" applyAlignment="1">
      <alignment/>
    </xf>
    <xf numFmtId="192" fontId="0" fillId="40" borderId="0" xfId="42" applyNumberFormat="1" applyFont="1" applyFill="1" applyBorder="1" applyAlignment="1">
      <alignment/>
    </xf>
    <xf numFmtId="192" fontId="0" fillId="40" borderId="71" xfId="42" applyNumberFormat="1" applyFont="1" applyFill="1" applyBorder="1" applyAlignment="1">
      <alignment/>
    </xf>
    <xf numFmtId="212" fontId="3" fillId="0" borderId="0" xfId="45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5" borderId="13" xfId="0" applyNumberFormat="1" applyFont="1" applyFill="1" applyBorder="1" applyAlignment="1">
      <alignment vertical="center"/>
    </xf>
    <xf numFmtId="0" fontId="0" fillId="35" borderId="2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vertical="center"/>
    </xf>
    <xf numFmtId="170" fontId="0" fillId="35" borderId="19" xfId="45" applyNumberFormat="1" applyFont="1" applyFill="1" applyBorder="1" applyAlignment="1">
      <alignment vertical="center"/>
    </xf>
    <xf numFmtId="191" fontId="6" fillId="0" borderId="11" xfId="6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8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35" borderId="106" xfId="0" applyFont="1" applyFill="1" applyBorder="1" applyAlignment="1">
      <alignment/>
    </xf>
    <xf numFmtId="3" fontId="0" fillId="35" borderId="106" xfId="0" applyNumberFormat="1" applyFont="1" applyFill="1" applyBorder="1" applyAlignment="1">
      <alignment/>
    </xf>
    <xf numFmtId="212" fontId="0" fillId="35" borderId="106" xfId="0" applyNumberFormat="1" applyFont="1" applyFill="1" applyBorder="1" applyAlignment="1">
      <alignment/>
    </xf>
    <xf numFmtId="0" fontId="0" fillId="0" borderId="106" xfId="0" applyFont="1" applyFill="1" applyBorder="1" applyAlignment="1">
      <alignment/>
    </xf>
    <xf numFmtId="49" fontId="9" fillId="35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215" fontId="0" fillId="0" borderId="11" xfId="45" applyNumberFormat="1" applyFont="1" applyBorder="1" applyAlignment="1">
      <alignment horizontal="right"/>
    </xf>
    <xf numFmtId="215" fontId="0" fillId="0" borderId="11" xfId="45" applyNumberFormat="1" applyFont="1" applyBorder="1" applyAlignment="1">
      <alignment horizontal="right"/>
    </xf>
    <xf numFmtId="215" fontId="3" fillId="0" borderId="11" xfId="45" applyNumberFormat="1" applyFont="1" applyBorder="1" applyAlignment="1">
      <alignment horizontal="right"/>
    </xf>
    <xf numFmtId="215" fontId="22" fillId="40" borderId="0" xfId="47" applyNumberFormat="1" applyFont="1" applyFill="1" applyBorder="1" applyAlignment="1">
      <alignment horizontal="left" wrapText="1"/>
    </xf>
    <xf numFmtId="215" fontId="22" fillId="40" borderId="47" xfId="47" applyNumberFormat="1" applyFont="1" applyFill="1" applyBorder="1" applyAlignment="1">
      <alignment horizontal="left" wrapText="1"/>
    </xf>
    <xf numFmtId="193" fontId="22" fillId="40" borderId="0" xfId="42" applyNumberFormat="1" applyFont="1" applyFill="1" applyBorder="1" applyAlignment="1">
      <alignment horizontal="left" wrapText="1"/>
    </xf>
    <xf numFmtId="193" fontId="22" fillId="40" borderId="0" xfId="47" applyNumberFormat="1" applyFont="1" applyFill="1" applyBorder="1" applyAlignment="1">
      <alignment horizontal="left" wrapText="1"/>
    </xf>
    <xf numFmtId="193" fontId="22" fillId="40" borderId="47" xfId="47" applyNumberFormat="1" applyFont="1" applyFill="1" applyBorder="1" applyAlignment="1">
      <alignment horizontal="left" wrapText="1"/>
    </xf>
    <xf numFmtId="215" fontId="19" fillId="40" borderId="48" xfId="47" applyNumberFormat="1" applyFont="1" applyFill="1" applyBorder="1" applyAlignment="1">
      <alignment horizontal="left" wrapText="1"/>
    </xf>
    <xf numFmtId="215" fontId="24" fillId="0" borderId="0" xfId="57" applyNumberFormat="1" applyFont="1">
      <alignment/>
      <protection/>
    </xf>
    <xf numFmtId="215" fontId="0" fillId="0" borderId="57" xfId="45" applyNumberFormat="1" applyFont="1" applyBorder="1" applyAlignment="1">
      <alignment/>
    </xf>
    <xf numFmtId="215" fontId="0" fillId="0" borderId="0" xfId="45" applyNumberFormat="1" applyFont="1" applyBorder="1" applyAlignment="1">
      <alignment/>
    </xf>
    <xf numFmtId="215" fontId="0" fillId="0" borderId="0" xfId="45" applyNumberFormat="1" applyFont="1" applyFill="1" applyBorder="1" applyAlignment="1">
      <alignment/>
    </xf>
    <xf numFmtId="215" fontId="0" fillId="37" borderId="17" xfId="45" applyNumberFormat="1" applyFont="1" applyFill="1" applyBorder="1" applyAlignment="1">
      <alignment vertical="center"/>
    </xf>
    <xf numFmtId="215" fontId="0" fillId="35" borderId="13" xfId="45" applyNumberFormat="1" applyFont="1" applyFill="1" applyBorder="1" applyAlignment="1">
      <alignment vertical="center"/>
    </xf>
    <xf numFmtId="215" fontId="3" fillId="35" borderId="13" xfId="45" applyNumberFormat="1" applyFont="1" applyFill="1" applyBorder="1" applyAlignment="1">
      <alignment vertical="center"/>
    </xf>
    <xf numFmtId="215" fontId="0" fillId="2" borderId="57" xfId="45" applyNumberFormat="1" applyFont="1" applyFill="1" applyBorder="1" applyAlignment="1">
      <alignment/>
    </xf>
    <xf numFmtId="215" fontId="0" fillId="35" borderId="19" xfId="45" applyNumberFormat="1" applyFont="1" applyFill="1" applyBorder="1" applyAlignment="1">
      <alignment vertical="center"/>
    </xf>
    <xf numFmtId="215" fontId="0" fillId="35" borderId="19" xfId="42" applyNumberFormat="1" applyFont="1" applyFill="1" applyBorder="1" applyAlignment="1">
      <alignment vertical="center"/>
    </xf>
    <xf numFmtId="215" fontId="0" fillId="35" borderId="13" xfId="45" applyNumberFormat="1" applyFont="1" applyFill="1" applyBorder="1" applyAlignment="1">
      <alignment vertical="center"/>
    </xf>
    <xf numFmtId="215" fontId="0" fillId="35" borderId="11" xfId="45" applyNumberFormat="1" applyFont="1" applyFill="1" applyBorder="1" applyAlignment="1">
      <alignment vertical="center"/>
    </xf>
    <xf numFmtId="215" fontId="0" fillId="38" borderId="11" xfId="45" applyNumberFormat="1" applyFont="1" applyFill="1" applyBorder="1" applyAlignment="1">
      <alignment vertical="center"/>
    </xf>
    <xf numFmtId="215" fontId="0" fillId="35" borderId="17" xfId="42" applyNumberFormat="1" applyFont="1" applyFill="1" applyBorder="1" applyAlignment="1">
      <alignment vertical="center"/>
    </xf>
    <xf numFmtId="215" fontId="5" fillId="35" borderId="11" xfId="42" applyNumberFormat="1" applyFont="1" applyFill="1" applyBorder="1" applyAlignment="1">
      <alignment horizontal="left" vertical="top"/>
    </xf>
    <xf numFmtId="215" fontId="5" fillId="35" borderId="11" xfId="45" applyNumberFormat="1" applyFont="1" applyFill="1" applyBorder="1" applyAlignment="1">
      <alignment horizontal="left" vertical="top"/>
    </xf>
    <xf numFmtId="192" fontId="3" fillId="2" borderId="57" xfId="42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178" fontId="0" fillId="0" borderId="107" xfId="0" applyNumberFormat="1" applyFont="1" applyBorder="1" applyAlignment="1">
      <alignment/>
    </xf>
    <xf numFmtId="4" fontId="0" fillId="0" borderId="107" xfId="0" applyNumberFormat="1" applyFont="1" applyBorder="1" applyAlignment="1">
      <alignment horizontal="right"/>
    </xf>
    <xf numFmtId="0" fontId="0" fillId="0" borderId="108" xfId="0" applyNumberFormat="1" applyFont="1" applyBorder="1" applyAlignment="1">
      <alignment/>
    </xf>
    <xf numFmtId="49" fontId="2" fillId="43" borderId="109" xfId="0" applyNumberFormat="1" applyFont="1" applyFill="1" applyBorder="1" applyAlignment="1">
      <alignment horizontal="center"/>
    </xf>
    <xf numFmtId="178" fontId="2" fillId="43" borderId="109" xfId="0" applyNumberFormat="1" applyFont="1" applyFill="1" applyBorder="1" applyAlignment="1">
      <alignment horizontal="center"/>
    </xf>
    <xf numFmtId="178" fontId="2" fillId="43" borderId="110" xfId="0" applyNumberFormat="1" applyFont="1" applyFill="1" applyBorder="1" applyAlignment="1">
      <alignment horizontal="center"/>
    </xf>
    <xf numFmtId="0" fontId="0" fillId="0" borderId="88" xfId="0" applyNumberFormat="1" applyFont="1" applyBorder="1" applyAlignment="1">
      <alignment/>
    </xf>
    <xf numFmtId="49" fontId="3" fillId="33" borderId="111" xfId="0" applyNumberFormat="1" applyFont="1" applyFill="1" applyBorder="1" applyAlignment="1">
      <alignment horizontal="center"/>
    </xf>
    <xf numFmtId="0" fontId="0" fillId="0" borderId="88" xfId="0" applyNumberFormat="1" applyFont="1" applyBorder="1" applyAlignment="1">
      <alignment/>
    </xf>
    <xf numFmtId="215" fontId="0" fillId="0" borderId="111" xfId="45" applyNumberFormat="1" applyFont="1" applyBorder="1" applyAlignment="1">
      <alignment horizontal="right"/>
    </xf>
    <xf numFmtId="212" fontId="0" fillId="0" borderId="111" xfId="45" applyNumberFormat="1" applyFont="1" applyBorder="1" applyAlignment="1">
      <alignment horizontal="right"/>
    </xf>
    <xf numFmtId="49" fontId="0" fillId="0" borderId="112" xfId="0" applyNumberFormat="1" applyFont="1" applyBorder="1" applyAlignment="1">
      <alignment/>
    </xf>
    <xf numFmtId="215" fontId="0" fillId="0" borderId="111" xfId="45" applyNumberFormat="1" applyFont="1" applyBorder="1" applyAlignment="1">
      <alignment horizontal="right"/>
    </xf>
    <xf numFmtId="215" fontId="3" fillId="0" borderId="111" xfId="45" applyNumberFormat="1" applyFont="1" applyBorder="1" applyAlignment="1">
      <alignment horizontal="right"/>
    </xf>
    <xf numFmtId="212" fontId="3" fillId="0" borderId="111" xfId="45" applyNumberFormat="1" applyFont="1" applyBorder="1" applyAlignment="1">
      <alignment horizontal="right"/>
    </xf>
    <xf numFmtId="9" fontId="6" fillId="0" borderId="111" xfId="60" applyFont="1" applyBorder="1" applyAlignment="1">
      <alignment horizontal="right"/>
    </xf>
    <xf numFmtId="191" fontId="6" fillId="0" borderId="111" xfId="60" applyNumberFormat="1" applyFont="1" applyBorder="1" applyAlignment="1">
      <alignment horizontal="right"/>
    </xf>
    <xf numFmtId="0" fontId="0" fillId="0" borderId="113" xfId="0" applyNumberFormat="1" applyFont="1" applyBorder="1" applyAlignment="1">
      <alignment/>
    </xf>
    <xf numFmtId="49" fontId="0" fillId="0" borderId="114" xfId="0" applyNumberFormat="1" applyFont="1" applyBorder="1" applyAlignment="1">
      <alignment/>
    </xf>
    <xf numFmtId="191" fontId="0" fillId="0" borderId="114" xfId="60" applyNumberFormat="1" applyFont="1" applyBorder="1" applyAlignment="1">
      <alignment horizontal="right"/>
    </xf>
    <xf numFmtId="191" fontId="0" fillId="0" borderId="115" xfId="6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BFBFBF"/>
      <rgbColor rgb="003394BA"/>
      <rgbColor rgb="00B15D24"/>
      <rgbColor rgb="00D8D8D8"/>
      <rgbColor rgb="00595959"/>
      <rgbColor rgb="0000B050"/>
      <rgbColor rgb="000070C0"/>
      <rgbColor rgb="00FF0000"/>
      <rgbColor rgb="00969696"/>
      <rgbColor rgb="00191919"/>
      <rgbColor rgb="00C2E4E8"/>
      <rgbColor rgb="0058B6C0"/>
      <rgbColor rgb="005B9BD5"/>
      <rgbColor rgb="007F7F7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Profit &amp; Loss 3 Year View</a:t>
            </a:r>
          </a:p>
        </c:rich>
      </c:tx>
      <c:layout>
        <c:manualLayout>
          <c:xMode val="factor"/>
          <c:yMode val="factor"/>
          <c:x val="-0.00075"/>
          <c:y val="-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375"/>
          <c:w val="0.995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Graphs!$B$122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Graphs!$C$122:$E$122</c:f>
              <c:numCache/>
            </c:numRef>
          </c:val>
        </c:ser>
        <c:ser>
          <c:idx val="1"/>
          <c:order val="1"/>
          <c:tx>
            <c:strRef>
              <c:f>Graphs!$B$123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Graphs!$C$123:$E$123</c:f>
              <c:numCache/>
            </c:numRef>
          </c:val>
        </c:ser>
        <c:ser>
          <c:idx val="2"/>
          <c:order val="2"/>
          <c:tx>
            <c:strRef>
              <c:f>Graphs!$B$124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Graphs!$C$124:$E$124</c:f>
              <c:numCache/>
            </c:numRef>
          </c:val>
        </c:ser>
        <c:overlap val="-27"/>
        <c:gapWidth val="219"/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8D8D8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majorGridlines>
          <c:spPr>
            <a:ln w="12700">
              <a:solidFill>
                <a:srgbClr val="D8D8D8"/>
              </a:solidFill>
            </a:ln>
          </c:spPr>
        </c:majorGridlines>
        <c:delete val="1"/>
        <c:majorTickMark val="out"/>
        <c:minorTickMark val="none"/>
        <c:tickLblPos val="nextTo"/>
        <c:crossAx val="9339314"/>
        <c:crossesAt val="1"/>
        <c:crossBetween val="between"/>
        <c:dispUnits/>
        <c:majorUnit val="71145.888"/>
        <c:minorUnit val="71145.88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25"/>
          <c:y val="0.93775"/>
          <c:w val="0.234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D8D8D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Projected net income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725"/>
          <c:w val="0.967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Graphs!$B$134</c:f>
              <c:strCache>
                <c:ptCount val="1"/>
                <c:pt idx="0">
                  <c:v> (137,142)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'Monthly Proforma P&amp;L'!$C$44:$AL$44</c:f>
              <c:numCache>
                <c:ptCount val="36"/>
                <c:pt idx="0">
                  <c:v>-103947.7422222222</c:v>
                </c:pt>
                <c:pt idx="1">
                  <c:v>-75703.91777777778</c:v>
                </c:pt>
                <c:pt idx="2">
                  <c:v>-50093.72666666666</c:v>
                </c:pt>
                <c:pt idx="3">
                  <c:v>-327723.65555555554</c:v>
                </c:pt>
                <c:pt idx="4">
                  <c:v>-315503.7284444444</c:v>
                </c:pt>
                <c:pt idx="5">
                  <c:v>-300673.08524444443</c:v>
                </c:pt>
                <c:pt idx="6">
                  <c:v>-324251.32940444443</c:v>
                </c:pt>
                <c:pt idx="7">
                  <c:v>-362145.14239644445</c:v>
                </c:pt>
                <c:pt idx="8">
                  <c:v>-336517.63798684446</c:v>
                </c:pt>
                <c:pt idx="9">
                  <c:v>-376264.55269532447</c:v>
                </c:pt>
                <c:pt idx="10">
                  <c:v>-339360.7703455005</c:v>
                </c:pt>
                <c:pt idx="11">
                  <c:v>-295110.2836546138</c:v>
                </c:pt>
                <c:pt idx="12">
                  <c:v>-66407.12816794403</c:v>
                </c:pt>
                <c:pt idx="13">
                  <c:v>-33771.202474399535</c:v>
                </c:pt>
                <c:pt idx="14">
                  <c:v>-68371.68421150051</c:v>
                </c:pt>
                <c:pt idx="15">
                  <c:v>-28882.214122311685</c:v>
                </c:pt>
                <c:pt idx="16">
                  <c:v>14556.202975796004</c:v>
                </c:pt>
                <c:pt idx="17">
                  <c:v>62338.46178371441</c:v>
                </c:pt>
                <c:pt idx="18">
                  <c:v>113898.94647242472</c:v>
                </c:pt>
                <c:pt idx="19">
                  <c:v>171715.4796300062</c:v>
                </c:pt>
                <c:pt idx="20">
                  <c:v>235313.6661033457</c:v>
                </c:pt>
                <c:pt idx="21">
                  <c:v>254646.67122401908</c:v>
                </c:pt>
                <c:pt idx="22">
                  <c:v>331600.4768567599</c:v>
                </c:pt>
                <c:pt idx="23">
                  <c:v>416087.2337137523</c:v>
                </c:pt>
                <c:pt idx="24">
                  <c:v>1246560.6990720634</c:v>
                </c:pt>
                <c:pt idx="25">
                  <c:v>1263289.918535022</c:v>
                </c:pt>
                <c:pt idx="26">
                  <c:v>1280186.4301926107</c:v>
                </c:pt>
                <c:pt idx="27">
                  <c:v>1297251.9069667747</c:v>
                </c:pt>
                <c:pt idx="28">
                  <c:v>1314488.0385086806</c:v>
                </c:pt>
                <c:pt idx="29">
                  <c:v>1331896.5313660055</c:v>
                </c:pt>
                <c:pt idx="30">
                  <c:v>1348479.1091519035</c:v>
                </c:pt>
                <c:pt idx="31">
                  <c:v>1366237.512715661</c:v>
                </c:pt>
                <c:pt idx="32">
                  <c:v>1384173.5003150555</c:v>
                </c:pt>
                <c:pt idx="33">
                  <c:v>1402288.847790444</c:v>
                </c:pt>
                <c:pt idx="34">
                  <c:v>1420585.3487405868</c:v>
                </c:pt>
                <c:pt idx="35">
                  <c:v>1439064.8147002307</c:v>
                </c:pt>
              </c:numCache>
            </c:numRef>
          </c:val>
        </c:ser>
        <c:ser>
          <c:idx val="1"/>
          <c:order val="1"/>
          <c:tx>
            <c:strRef>
              <c:f>Graphs!$C$134</c:f>
              <c:strCache>
                <c:ptCount val="1"/>
                <c:pt idx="0">
                  <c:v> (115,426)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Graphs!$C$135:$C$158</c:f>
              <c:numCache/>
            </c:numRef>
          </c:val>
        </c:ser>
        <c:gapWidth val="0"/>
        <c:axId val="18286940"/>
        <c:axId val="30364733"/>
      </c:barChart>
      <c:catAx>
        <c:axId val="182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BFBFB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182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Projected Monthly Total Cash Flow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"/>
          <c:w val="0.985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Graphs!$B$137:$AK$137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Graphs!$B$138:$AK$138</c:f>
              <c:numCache/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484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Projected Revenue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725"/>
          <c:w val="0.967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Graphs!$C$128:$AL$128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gapWidth val="0"/>
        <c:axId val="57074192"/>
        <c:axId val="43905681"/>
      </c:barChart>
      <c:cat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BFBFB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57074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Operating Expenses 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725"/>
          <c:w val="0.98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Graphs!$B$133:$AJ$133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Graphs!$B$134:$AJ$134</c:f>
              <c:numCache/>
            </c:numRef>
          </c:val>
        </c:ser>
        <c:axId val="59606810"/>
        <c:axId val="66699243"/>
      </c:bar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59606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Projected Monthly Operating Cash Flow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2"/>
          <c:w val="0.986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Graphs!$B$141:$AK$141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Graphs!$B$142:$AK$142</c:f>
              <c:numCache/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7F7F7F"/>
            </a:solidFill>
          </a:ln>
        </c:spPr>
        <c:crossAx val="6342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7F7F7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65</xdr:row>
      <xdr:rowOff>38100</xdr:rowOff>
    </xdr:from>
    <xdr:to>
      <xdr:col>15</xdr:col>
      <xdr:colOff>352425</xdr:colOff>
      <xdr:row>79</xdr:row>
      <xdr:rowOff>152400</xdr:rowOff>
    </xdr:to>
    <xdr:graphicFrame>
      <xdr:nvGraphicFramePr>
        <xdr:cNvPr id="1" name="Chart 2"/>
        <xdr:cNvGraphicFramePr/>
      </xdr:nvGraphicFramePr>
      <xdr:xfrm>
        <a:off x="1028700" y="10563225"/>
        <a:ext cx="12258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0</xdr:row>
      <xdr:rowOff>152400</xdr:rowOff>
    </xdr:from>
    <xdr:to>
      <xdr:col>15</xdr:col>
      <xdr:colOff>238125</xdr:colOff>
      <xdr:row>20</xdr:row>
      <xdr:rowOff>104775</xdr:rowOff>
    </xdr:to>
    <xdr:graphicFrame>
      <xdr:nvGraphicFramePr>
        <xdr:cNvPr id="2" name="Chart 1"/>
        <xdr:cNvGraphicFramePr/>
      </xdr:nvGraphicFramePr>
      <xdr:xfrm>
        <a:off x="638175" y="152400"/>
        <a:ext cx="12534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82</xdr:row>
      <xdr:rowOff>38100</xdr:rowOff>
    </xdr:from>
    <xdr:to>
      <xdr:col>14</xdr:col>
      <xdr:colOff>714375</xdr:colOff>
      <xdr:row>98</xdr:row>
      <xdr:rowOff>95250</xdr:rowOff>
    </xdr:to>
    <xdr:graphicFrame>
      <xdr:nvGraphicFramePr>
        <xdr:cNvPr id="3" name="Chart 4"/>
        <xdr:cNvGraphicFramePr/>
      </xdr:nvGraphicFramePr>
      <xdr:xfrm>
        <a:off x="981075" y="13315950"/>
        <a:ext cx="118681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266700</xdr:colOff>
      <xdr:row>41</xdr:row>
      <xdr:rowOff>114300</xdr:rowOff>
    </xdr:to>
    <xdr:graphicFrame>
      <xdr:nvGraphicFramePr>
        <xdr:cNvPr id="4" name="Chart 1"/>
        <xdr:cNvGraphicFramePr/>
      </xdr:nvGraphicFramePr>
      <xdr:xfrm>
        <a:off x="666750" y="3562350"/>
        <a:ext cx="125349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15</xdr:col>
      <xdr:colOff>266700</xdr:colOff>
      <xdr:row>62</xdr:row>
      <xdr:rowOff>114300</xdr:rowOff>
    </xdr:to>
    <xdr:graphicFrame>
      <xdr:nvGraphicFramePr>
        <xdr:cNvPr id="5" name="Chart 1"/>
        <xdr:cNvGraphicFramePr/>
      </xdr:nvGraphicFramePr>
      <xdr:xfrm>
        <a:off x="666750" y="6962775"/>
        <a:ext cx="12534900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276225</xdr:colOff>
      <xdr:row>99</xdr:row>
      <xdr:rowOff>133350</xdr:rowOff>
    </xdr:from>
    <xdr:to>
      <xdr:col>14</xdr:col>
      <xdr:colOff>676275</xdr:colOff>
      <xdr:row>116</xdr:row>
      <xdr:rowOff>28575</xdr:rowOff>
    </xdr:to>
    <xdr:graphicFrame>
      <xdr:nvGraphicFramePr>
        <xdr:cNvPr id="6" name="Chart 4"/>
        <xdr:cNvGraphicFramePr/>
      </xdr:nvGraphicFramePr>
      <xdr:xfrm>
        <a:off x="942975" y="16163925"/>
        <a:ext cx="118681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H%20Client\Darryl\Project%201\iTour_Financials_Years_1_to_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and Loss"/>
      <sheetName val="Balance Sheet"/>
      <sheetName val="Cash Flow"/>
      <sheetName val="Diagrams"/>
      <sheetName val="WACC"/>
      <sheetName val="Sheet1"/>
    </sheetNames>
    <sheetDataSet>
      <sheetData sheetId="0">
        <row r="33">
          <cell r="E33">
            <v>0</v>
          </cell>
          <cell r="F33">
            <v>0</v>
          </cell>
          <cell r="G33">
            <v>0</v>
          </cell>
        </row>
        <row r="39">
          <cell r="F39">
            <v>7066668.34211872</v>
          </cell>
          <cell r="G39">
            <v>8912112.530134294</v>
          </cell>
        </row>
      </sheetData>
      <sheetData sheetId="2">
        <row r="20">
          <cell r="F20">
            <v>0</v>
          </cell>
          <cell r="G20">
            <v>0</v>
          </cell>
        </row>
        <row r="26">
          <cell r="F26">
            <v>19115571.578006722</v>
          </cell>
          <cell r="G26">
            <v>28027684.108141016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3">
      <selection activeCell="B33" sqref="B33"/>
    </sheetView>
  </sheetViews>
  <sheetFormatPr defaultColWidth="8.8515625" defaultRowHeight="15" customHeight="1"/>
  <cols>
    <col min="1" max="1" width="6.140625" style="1" customWidth="1"/>
    <col min="2" max="2" width="54.140625" style="1" customWidth="1"/>
    <col min="3" max="3" width="15.140625" style="1" bestFit="1" customWidth="1"/>
    <col min="4" max="5" width="8.8515625" style="1" customWidth="1"/>
    <col min="6" max="6" width="10.00390625" style="1" bestFit="1" customWidth="1"/>
    <col min="7" max="7" width="13.57421875" style="1" bestFit="1" customWidth="1"/>
    <col min="8" max="8" width="10.57421875" style="1" bestFit="1" customWidth="1"/>
    <col min="9" max="9" width="27.140625" style="1" customWidth="1"/>
    <col min="10" max="10" width="12.7109375" style="1" customWidth="1"/>
    <col min="11" max="11" width="10.57421875" style="1" bestFit="1" customWidth="1"/>
    <col min="12" max="16384" width="8.8515625" style="1" customWidth="1"/>
  </cols>
  <sheetData>
    <row r="1" spans="1:5" ht="15" customHeight="1">
      <c r="A1" s="7"/>
      <c r="B1" s="7"/>
      <c r="C1" s="7"/>
      <c r="D1" s="8"/>
      <c r="E1" s="8"/>
    </row>
    <row r="2" spans="1:5" ht="15" customHeight="1">
      <c r="A2" s="9"/>
      <c r="B2" s="10" t="s">
        <v>186</v>
      </c>
      <c r="C2" s="11" t="s">
        <v>7</v>
      </c>
      <c r="D2" s="12"/>
      <c r="E2" s="8"/>
    </row>
    <row r="3" spans="1:5" ht="15" customHeight="1">
      <c r="A3" s="13">
        <v>1</v>
      </c>
      <c r="B3" s="345" t="s">
        <v>172</v>
      </c>
      <c r="C3" s="363"/>
      <c r="D3" s="14"/>
      <c r="E3" s="8"/>
    </row>
    <row r="4" spans="1:5" ht="15" customHeight="1">
      <c r="A4" s="13">
        <v>2</v>
      </c>
      <c r="B4" s="346" t="s">
        <v>173</v>
      </c>
      <c r="C4" s="363"/>
      <c r="D4" s="14"/>
      <c r="E4" s="8"/>
    </row>
    <row r="5" spans="1:8" ht="15" customHeight="1">
      <c r="A5" s="13">
        <v>3</v>
      </c>
      <c r="B5" s="346" t="s">
        <v>174</v>
      </c>
      <c r="C5" s="363"/>
      <c r="D5" s="14"/>
      <c r="E5" s="8"/>
      <c r="G5" s="181"/>
      <c r="H5" s="181"/>
    </row>
    <row r="6" spans="1:12" ht="15">
      <c r="A6" s="13">
        <v>4</v>
      </c>
      <c r="B6" s="346" t="s">
        <v>175</v>
      </c>
      <c r="C6" s="363"/>
      <c r="D6" s="14"/>
      <c r="E6" s="8"/>
      <c r="H6" s="191"/>
      <c r="J6" s="303"/>
      <c r="K6" s="303"/>
      <c r="L6" s="303"/>
    </row>
    <row r="7" spans="1:12" ht="15">
      <c r="A7" s="13">
        <v>5</v>
      </c>
      <c r="B7" s="346" t="s">
        <v>176</v>
      </c>
      <c r="C7" s="363"/>
      <c r="D7" s="14"/>
      <c r="E7" s="8"/>
      <c r="F7"/>
      <c r="G7"/>
      <c r="H7" s="191"/>
      <c r="I7" s="306"/>
      <c r="J7" s="305"/>
      <c r="K7" s="224"/>
      <c r="L7" s="303"/>
    </row>
    <row r="8" spans="1:12" ht="15" customHeight="1">
      <c r="A8" s="13">
        <v>6</v>
      </c>
      <c r="B8" s="346" t="s">
        <v>177</v>
      </c>
      <c r="C8" s="363"/>
      <c r="D8" s="14"/>
      <c r="E8" s="8"/>
      <c r="G8" s="181"/>
      <c r="H8" s="191"/>
      <c r="J8" s="305"/>
      <c r="K8" s="224"/>
      <c r="L8" s="303"/>
    </row>
    <row r="9" spans="1:12" ht="15" customHeight="1">
      <c r="A9" s="13">
        <v>7</v>
      </c>
      <c r="B9" s="346" t="s">
        <v>180</v>
      </c>
      <c r="C9" s="363"/>
      <c r="D9" s="14"/>
      <c r="E9" s="8"/>
      <c r="G9" s="181"/>
      <c r="H9" s="191"/>
      <c r="J9" s="303"/>
      <c r="K9" s="224"/>
      <c r="L9" s="303"/>
    </row>
    <row r="10" spans="1:12" ht="15" customHeight="1">
      <c r="A10" s="13">
        <v>8</v>
      </c>
      <c r="B10" s="346" t="s">
        <v>178</v>
      </c>
      <c r="C10" s="363"/>
      <c r="D10" s="14"/>
      <c r="E10" s="8"/>
      <c r="H10" s="191"/>
      <c r="J10" s="303"/>
      <c r="K10" s="224"/>
      <c r="L10" s="303"/>
    </row>
    <row r="11" spans="1:12" ht="15" customHeight="1">
      <c r="A11" s="13">
        <v>9</v>
      </c>
      <c r="B11" s="345" t="s">
        <v>179</v>
      </c>
      <c r="C11" s="363"/>
      <c r="D11" s="14"/>
      <c r="E11" s="8"/>
      <c r="H11" s="191"/>
      <c r="J11" s="303"/>
      <c r="K11" s="224"/>
      <c r="L11" s="303"/>
    </row>
    <row r="12" spans="1:12" ht="15" customHeight="1">
      <c r="A12" s="13">
        <v>10</v>
      </c>
      <c r="B12" s="189"/>
      <c r="C12" s="341"/>
      <c r="D12" s="14"/>
      <c r="E12" s="8"/>
      <c r="G12" s="181"/>
      <c r="H12" s="191"/>
      <c r="J12" s="303"/>
      <c r="K12" s="224"/>
      <c r="L12" s="303"/>
    </row>
    <row r="13" spans="1:12" ht="15">
      <c r="A13" s="13">
        <v>11</v>
      </c>
      <c r="B13" s="16"/>
      <c r="C13" s="340"/>
      <c r="D13" s="14"/>
      <c r="E13" s="8"/>
      <c r="F13"/>
      <c r="H13" s="191"/>
      <c r="J13" s="305"/>
      <c r="K13" s="224"/>
      <c r="L13" s="303"/>
    </row>
    <row r="14" spans="1:12" ht="15">
      <c r="A14" s="13">
        <v>12</v>
      </c>
      <c r="B14" s="311"/>
      <c r="C14" s="342"/>
      <c r="D14" s="14"/>
      <c r="E14" s="8"/>
      <c r="H14" s="301"/>
      <c r="J14" s="303"/>
      <c r="K14" s="224"/>
      <c r="L14" s="303"/>
    </row>
    <row r="15" spans="1:12" ht="15" customHeight="1">
      <c r="A15" s="13">
        <v>13</v>
      </c>
      <c r="B15" s="16"/>
      <c r="C15" s="308"/>
      <c r="D15" s="14"/>
      <c r="E15" s="8"/>
      <c r="J15" s="303"/>
      <c r="K15" s="224"/>
      <c r="L15" s="303"/>
    </row>
    <row r="16" spans="1:12" ht="15" customHeight="1">
      <c r="A16" s="13">
        <v>14</v>
      </c>
      <c r="B16" s="16"/>
      <c r="C16" s="308"/>
      <c r="D16" s="14"/>
      <c r="E16" s="8"/>
      <c r="J16" s="303"/>
      <c r="K16" s="224"/>
      <c r="L16" s="303"/>
    </row>
    <row r="17" spans="1:12" ht="15" customHeight="1">
      <c r="A17" s="13">
        <v>15</v>
      </c>
      <c r="B17" s="16"/>
      <c r="C17" s="308"/>
      <c r="D17" s="14"/>
      <c r="E17" s="8"/>
      <c r="G17" s="302"/>
      <c r="J17" s="303"/>
      <c r="K17" s="224"/>
      <c r="L17" s="303"/>
    </row>
    <row r="18" spans="1:12" ht="15" customHeight="1">
      <c r="A18" s="13">
        <v>16</v>
      </c>
      <c r="B18" s="189"/>
      <c r="C18" s="308"/>
      <c r="D18" s="14"/>
      <c r="E18" s="8"/>
      <c r="J18" s="303"/>
      <c r="K18" s="224"/>
      <c r="L18" s="303"/>
    </row>
    <row r="19" spans="1:12" ht="15" customHeight="1">
      <c r="A19" s="13">
        <v>17</v>
      </c>
      <c r="B19" s="16"/>
      <c r="C19" s="308"/>
      <c r="D19" s="14"/>
      <c r="E19" s="8"/>
      <c r="J19" s="303"/>
      <c r="K19" s="224"/>
      <c r="L19" s="303"/>
    </row>
    <row r="20" spans="1:12" ht="15">
      <c r="A20" s="13">
        <v>18</v>
      </c>
      <c r="B20" s="16"/>
      <c r="C20" s="308"/>
      <c r="D20" s="14"/>
      <c r="E20" s="8"/>
      <c r="I20" s="304"/>
      <c r="J20" s="305"/>
      <c r="K20" s="224"/>
      <c r="L20" s="303"/>
    </row>
    <row r="21" spans="1:12" ht="15" customHeight="1">
      <c r="A21" s="13">
        <v>19</v>
      </c>
      <c r="B21" s="240" t="s">
        <v>168</v>
      </c>
      <c r="C21" s="309"/>
      <c r="D21" s="14"/>
      <c r="E21" s="8"/>
      <c r="J21" s="303"/>
      <c r="K21" s="310"/>
      <c r="L21" s="303"/>
    </row>
    <row r="22" spans="1:12" ht="15" customHeight="1">
      <c r="A22" s="13">
        <v>20</v>
      </c>
      <c r="B22" s="345" t="s">
        <v>181</v>
      </c>
      <c r="C22" s="363"/>
      <c r="D22" s="14"/>
      <c r="E22" s="8"/>
      <c r="J22" s="303"/>
      <c r="K22" s="310"/>
      <c r="L22" s="303"/>
    </row>
    <row r="23" spans="1:12" ht="15">
      <c r="A23" s="13">
        <v>21</v>
      </c>
      <c r="B23" s="346" t="s">
        <v>182</v>
      </c>
      <c r="C23" s="363"/>
      <c r="D23" s="8"/>
      <c r="E23" s="8"/>
      <c r="G23" s="302"/>
      <c r="J23" s="303"/>
      <c r="K23" s="310"/>
      <c r="L23" s="303"/>
    </row>
    <row r="24" spans="1:12" ht="15" customHeight="1">
      <c r="A24" s="13">
        <v>22</v>
      </c>
      <c r="B24" s="346" t="s">
        <v>183</v>
      </c>
      <c r="C24" s="363"/>
      <c r="D24" s="14"/>
      <c r="E24" s="8"/>
      <c r="J24" s="303"/>
      <c r="K24" s="310"/>
      <c r="L24" s="303"/>
    </row>
    <row r="25" spans="1:12" ht="15" customHeight="1">
      <c r="A25" s="13">
        <v>23</v>
      </c>
      <c r="B25" s="346" t="s">
        <v>184</v>
      </c>
      <c r="C25" s="363"/>
      <c r="D25" s="14"/>
      <c r="E25" s="8"/>
      <c r="J25" s="303"/>
      <c r="K25" s="310"/>
      <c r="L25" s="303"/>
    </row>
    <row r="26" spans="1:12" ht="15" customHeight="1">
      <c r="A26" s="13">
        <v>24</v>
      </c>
      <c r="B26" s="345" t="s">
        <v>185</v>
      </c>
      <c r="C26" s="363"/>
      <c r="D26" s="14"/>
      <c r="E26" s="8"/>
      <c r="J26" s="303"/>
      <c r="K26" s="310"/>
      <c r="L26" s="303"/>
    </row>
    <row r="27" spans="1:12" ht="15" customHeight="1">
      <c r="A27" s="13">
        <v>25</v>
      </c>
      <c r="B27" s="17"/>
      <c r="C27" s="308"/>
      <c r="D27" s="14"/>
      <c r="E27" s="8"/>
      <c r="J27" s="303"/>
      <c r="K27" s="310"/>
      <c r="L27" s="303"/>
    </row>
    <row r="28" spans="1:12" ht="15" customHeight="1">
      <c r="A28" s="13">
        <v>26</v>
      </c>
      <c r="B28" s="17"/>
      <c r="C28" s="308"/>
      <c r="D28" s="14"/>
      <c r="E28" s="8"/>
      <c r="J28" s="303"/>
      <c r="K28" s="310"/>
      <c r="L28" s="303"/>
    </row>
    <row r="29" spans="1:12" ht="15" customHeight="1">
      <c r="A29" s="13"/>
      <c r="B29" s="17"/>
      <c r="C29" s="308"/>
      <c r="D29" s="14"/>
      <c r="E29" s="8"/>
      <c r="J29" s="303"/>
      <c r="K29" s="310"/>
      <c r="L29" s="303"/>
    </row>
    <row r="30" spans="1:12" ht="15" customHeight="1">
      <c r="A30" s="13"/>
      <c r="B30" s="17"/>
      <c r="C30" s="308"/>
      <c r="D30" s="14"/>
      <c r="E30" s="8"/>
      <c r="J30" s="303"/>
      <c r="K30" s="310"/>
      <c r="L30" s="303"/>
    </row>
    <row r="31" spans="1:11" ht="15" customHeight="1">
      <c r="A31" s="13"/>
      <c r="B31" s="17"/>
      <c r="C31" s="308"/>
      <c r="D31" s="14"/>
      <c r="E31" s="8"/>
      <c r="J31" s="228"/>
      <c r="K31" s="228"/>
    </row>
    <row r="32" spans="1:11" ht="15" customHeight="1">
      <c r="A32" s="13"/>
      <c r="B32" s="17"/>
      <c r="C32" s="308"/>
      <c r="D32" s="14"/>
      <c r="E32" s="8"/>
      <c r="J32" s="228"/>
      <c r="K32" s="228"/>
    </row>
    <row r="33" spans="1:5" ht="15" customHeight="1">
      <c r="A33" s="13"/>
      <c r="B33" s="17"/>
      <c r="C33" s="308"/>
      <c r="D33" s="14"/>
      <c r="E33" s="8"/>
    </row>
    <row r="34" spans="1:11" ht="15" customHeight="1">
      <c r="A34" s="13">
        <v>27</v>
      </c>
      <c r="B34" s="17"/>
      <c r="C34" s="308"/>
      <c r="D34" s="14"/>
      <c r="E34" s="8"/>
      <c r="J34" s="228"/>
      <c r="K34" s="191"/>
    </row>
    <row r="35" spans="1:5" ht="15" customHeight="1">
      <c r="A35" s="13">
        <v>28</v>
      </c>
      <c r="B35" s="18"/>
      <c r="C35" s="308"/>
      <c r="D35" s="14"/>
      <c r="E35" s="8"/>
    </row>
    <row r="36" spans="1:5" ht="15" customHeight="1">
      <c r="A36" s="13">
        <v>29</v>
      </c>
      <c r="B36" s="16" t="s">
        <v>8</v>
      </c>
      <c r="C36" s="308"/>
      <c r="D36" s="14"/>
      <c r="E36" s="8"/>
    </row>
    <row r="37" spans="1:6" ht="15" customHeight="1">
      <c r="A37" s="13">
        <v>30</v>
      </c>
      <c r="B37" s="307" t="s">
        <v>171</v>
      </c>
      <c r="C37" s="308">
        <v>16500</v>
      </c>
      <c r="D37" s="8"/>
      <c r="E37" s="8"/>
      <c r="F37" s="190"/>
    </row>
    <row r="38" spans="1:5" ht="15" customHeight="1">
      <c r="A38" s="19"/>
      <c r="B38" s="20" t="s">
        <v>121</v>
      </c>
      <c r="C38" s="308">
        <v>75000</v>
      </c>
      <c r="D38" s="8"/>
      <c r="E38" s="8"/>
    </row>
    <row r="39" spans="1:5" ht="15" customHeight="1">
      <c r="A39" s="7"/>
      <c r="B39" s="7"/>
      <c r="C39" s="8"/>
      <c r="D39" s="8"/>
      <c r="E39" s="8"/>
    </row>
    <row r="40" spans="1:5" ht="15" customHeight="1">
      <c r="A40" s="21"/>
      <c r="B40" s="22" t="s">
        <v>9</v>
      </c>
      <c r="C40" s="12"/>
      <c r="D40" s="8"/>
      <c r="E40" s="8"/>
    </row>
    <row r="41" spans="1:5" ht="15" customHeight="1">
      <c r="A41" s="23">
        <v>1</v>
      </c>
      <c r="B41" s="24"/>
      <c r="C41" s="25"/>
      <c r="D41" s="8"/>
      <c r="E41" s="8"/>
    </row>
    <row r="42" spans="1:5" ht="30" customHeight="1">
      <c r="A42" s="26">
        <v>2</v>
      </c>
      <c r="B42" s="27" t="s">
        <v>169</v>
      </c>
      <c r="C42" s="25"/>
      <c r="D42" s="8"/>
      <c r="E42" s="8"/>
    </row>
    <row r="43" spans="1:6" ht="15" customHeight="1">
      <c r="A43" s="26">
        <v>3</v>
      </c>
      <c r="B43" s="28" t="s">
        <v>170</v>
      </c>
      <c r="C43" s="233"/>
      <c r="D43" s="8"/>
      <c r="E43" s="8"/>
      <c r="F43" s="230"/>
    </row>
    <row r="44" spans="1:6" ht="15" customHeight="1">
      <c r="A44" s="26">
        <v>4</v>
      </c>
      <c r="B44" s="229" t="s">
        <v>165</v>
      </c>
      <c r="C44" s="123"/>
      <c r="D44" s="8"/>
      <c r="E44" s="8"/>
      <c r="F44" s="230"/>
    </row>
    <row r="45" spans="1:6" ht="15" customHeight="1">
      <c r="A45" s="26">
        <v>5</v>
      </c>
      <c r="B45" s="229" t="s">
        <v>166</v>
      </c>
      <c r="C45" s="123"/>
      <c r="D45" s="8"/>
      <c r="E45" s="8"/>
      <c r="F45" s="230"/>
    </row>
    <row r="46" spans="1:5" ht="15" customHeight="1">
      <c r="A46" s="26"/>
      <c r="B46" s="232"/>
      <c r="C46" s="123"/>
      <c r="D46" s="8"/>
      <c r="E46" s="8"/>
    </row>
    <row r="47" spans="1:5" ht="15" customHeight="1">
      <c r="A47" s="26"/>
      <c r="B47" s="20"/>
      <c r="C47" s="8"/>
      <c r="D47" s="8"/>
      <c r="E47" s="8"/>
    </row>
    <row r="48" spans="1:5" ht="15" customHeight="1">
      <c r="A48" s="26"/>
      <c r="B48" s="20"/>
      <c r="C48" s="8"/>
      <c r="D48" s="8"/>
      <c r="E48" s="8"/>
    </row>
  </sheetData>
  <sheetProtection/>
  <printOptions/>
  <pageMargins left="0.75" right="0.75" top="1" bottom="1" header="0.3" footer="0.3"/>
  <pageSetup horizontalDpi="600" verticalDpi="600" orientation="landscape" scale="65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8.8515625" defaultRowHeight="15" customHeight="1"/>
  <cols>
    <col min="1" max="1" width="48.421875" style="1" bestFit="1" customWidth="1"/>
    <col min="2" max="2" width="12.28125" style="313" customWidth="1"/>
    <col min="3" max="5" width="10.421875" style="313" customWidth="1"/>
    <col min="6" max="8" width="11.140625" style="313" customWidth="1"/>
    <col min="9" max="15" width="11.8515625" style="313" customWidth="1"/>
    <col min="16" max="16" width="12.8515625" style="313" customWidth="1"/>
    <col min="17" max="26" width="11.8515625" style="313" customWidth="1"/>
    <col min="27" max="27" width="12.8515625" style="313" customWidth="1"/>
    <col min="28" max="32" width="11.8515625" style="313" customWidth="1"/>
    <col min="33" max="36" width="14.28125" style="313" bestFit="1" customWidth="1"/>
    <col min="37" max="37" width="14.421875" style="313" bestFit="1" customWidth="1"/>
    <col min="38" max="38" width="1.28515625" style="313" customWidth="1"/>
    <col min="39" max="40" width="14.28125" style="313" bestFit="1" customWidth="1"/>
    <col min="41" max="41" width="15.28125" style="313" bestFit="1" customWidth="1"/>
    <col min="42" max="16384" width="8.8515625" style="1" customWidth="1"/>
  </cols>
  <sheetData>
    <row r="1" spans="1:41" s="181" customFormat="1" ht="15" customHeight="1">
      <c r="A1" s="431" t="s">
        <v>162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</row>
    <row r="2" spans="1:41" s="181" customFormat="1" ht="15" customHeight="1">
      <c r="A2" s="432"/>
      <c r="B2" s="433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</row>
    <row r="3" spans="1:41" s="181" customFormat="1" ht="15" customHeight="1">
      <c r="A3" s="434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374"/>
      <c r="AM3" s="374" t="s">
        <v>1</v>
      </c>
      <c r="AN3" s="374" t="s">
        <v>2</v>
      </c>
      <c r="AO3" s="374" t="s">
        <v>167</v>
      </c>
    </row>
    <row r="4" spans="1:41" ht="15" customHeight="1">
      <c r="A4" s="430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M4" s="315"/>
      <c r="AN4" s="316"/>
      <c r="AO4" s="317"/>
    </row>
    <row r="5" spans="1:41" ht="15" customHeight="1">
      <c r="A5" s="130"/>
      <c r="B5" s="343">
        <v>1</v>
      </c>
      <c r="C5" s="343">
        <v>2</v>
      </c>
      <c r="D5" s="343">
        <v>3</v>
      </c>
      <c r="E5" s="343">
        <v>4</v>
      </c>
      <c r="F5" s="343">
        <v>5</v>
      </c>
      <c r="G5" s="343">
        <v>6</v>
      </c>
      <c r="H5" s="343">
        <v>7</v>
      </c>
      <c r="I5" s="343">
        <v>8</v>
      </c>
      <c r="J5" s="343">
        <v>9</v>
      </c>
      <c r="K5" s="343">
        <v>10</v>
      </c>
      <c r="L5" s="343">
        <v>11</v>
      </c>
      <c r="M5" s="343">
        <v>12</v>
      </c>
      <c r="N5" s="343">
        <v>13</v>
      </c>
      <c r="O5" s="343">
        <v>14</v>
      </c>
      <c r="P5" s="343">
        <v>15</v>
      </c>
      <c r="Q5" s="343">
        <v>16</v>
      </c>
      <c r="R5" s="343">
        <v>17</v>
      </c>
      <c r="S5" s="343">
        <v>18</v>
      </c>
      <c r="T5" s="343">
        <v>19</v>
      </c>
      <c r="U5" s="343">
        <v>20</v>
      </c>
      <c r="V5" s="343">
        <v>21</v>
      </c>
      <c r="W5" s="343">
        <v>22</v>
      </c>
      <c r="X5" s="343">
        <v>23</v>
      </c>
      <c r="Y5" s="343">
        <v>24</v>
      </c>
      <c r="Z5" s="343">
        <v>25</v>
      </c>
      <c r="AA5" s="343">
        <v>26</v>
      </c>
      <c r="AB5" s="343">
        <v>27</v>
      </c>
      <c r="AC5" s="343">
        <v>28</v>
      </c>
      <c r="AD5" s="343">
        <v>29</v>
      </c>
      <c r="AE5" s="343">
        <v>30</v>
      </c>
      <c r="AF5" s="343">
        <v>31</v>
      </c>
      <c r="AG5" s="343">
        <v>32</v>
      </c>
      <c r="AH5" s="343">
        <v>33</v>
      </c>
      <c r="AI5" s="343">
        <v>34</v>
      </c>
      <c r="AJ5" s="343">
        <v>35</v>
      </c>
      <c r="AK5" s="343">
        <v>36</v>
      </c>
      <c r="AM5" s="315"/>
      <c r="AN5" s="316"/>
      <c r="AO5" s="317"/>
    </row>
    <row r="6" spans="1:41" ht="21" customHeight="1">
      <c r="A6" s="131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M6" s="315"/>
      <c r="AN6" s="316"/>
      <c r="AO6" s="317"/>
    </row>
    <row r="7" spans="1:41" ht="15" customHeight="1">
      <c r="A7" s="132" t="s">
        <v>119</v>
      </c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M7" s="315"/>
      <c r="AN7" s="316"/>
      <c r="AO7" s="317"/>
    </row>
    <row r="8" spans="1:41" ht="15" customHeight="1">
      <c r="A8" s="365" t="s">
        <v>187</v>
      </c>
      <c r="B8" s="366">
        <v>2000</v>
      </c>
      <c r="C8" s="366">
        <v>3000</v>
      </c>
      <c r="D8" s="366">
        <v>6000</v>
      </c>
      <c r="E8" s="366">
        <f>D8*1.2</f>
        <v>7200</v>
      </c>
      <c r="F8" s="366">
        <f aca="true" t="shared" si="0" ref="F8:M8">E8*1.2</f>
        <v>8640</v>
      </c>
      <c r="G8" s="366">
        <f t="shared" si="0"/>
        <v>10368</v>
      </c>
      <c r="H8" s="366">
        <f t="shared" si="0"/>
        <v>12441.6</v>
      </c>
      <c r="I8" s="366">
        <f t="shared" si="0"/>
        <v>14929.92</v>
      </c>
      <c r="J8" s="366">
        <f t="shared" si="0"/>
        <v>17915.904</v>
      </c>
      <c r="K8" s="366">
        <f t="shared" si="0"/>
        <v>21499.084799999997</v>
      </c>
      <c r="L8" s="366">
        <f t="shared" si="0"/>
        <v>25798.901759999997</v>
      </c>
      <c r="M8" s="366">
        <f t="shared" si="0"/>
        <v>30958.682111999995</v>
      </c>
      <c r="N8" s="366">
        <f>M8*1.1</f>
        <v>34054.5503232</v>
      </c>
      <c r="O8" s="366">
        <f aca="true" t="shared" si="1" ref="O8:Y8">N8*1.1</f>
        <v>37460.00535552</v>
      </c>
      <c r="P8" s="366">
        <f t="shared" si="1"/>
        <v>41206.005891072</v>
      </c>
      <c r="Q8" s="366">
        <f t="shared" si="1"/>
        <v>45326.60648017921</v>
      </c>
      <c r="R8" s="366">
        <f t="shared" si="1"/>
        <v>49859.267128197134</v>
      </c>
      <c r="S8" s="366">
        <f t="shared" si="1"/>
        <v>54845.19384101685</v>
      </c>
      <c r="T8" s="366">
        <f t="shared" si="1"/>
        <v>60329.71322511854</v>
      </c>
      <c r="U8" s="366">
        <f t="shared" si="1"/>
        <v>66362.6845476304</v>
      </c>
      <c r="V8" s="366">
        <f t="shared" si="1"/>
        <v>72998.95300239345</v>
      </c>
      <c r="W8" s="366">
        <f t="shared" si="1"/>
        <v>80298.8483026328</v>
      </c>
      <c r="X8" s="366">
        <f t="shared" si="1"/>
        <v>88328.73313289609</v>
      </c>
      <c r="Y8" s="366">
        <f t="shared" si="1"/>
        <v>97161.6064461857</v>
      </c>
      <c r="Z8" s="366">
        <f>Y8*1.01</f>
        <v>98133.22251064757</v>
      </c>
      <c r="AA8" s="366">
        <f aca="true" t="shared" si="2" ref="AA8:AK8">Z8*1.01</f>
        <v>99114.55473575405</v>
      </c>
      <c r="AB8" s="366">
        <f t="shared" si="2"/>
        <v>100105.7002831116</v>
      </c>
      <c r="AC8" s="366">
        <f t="shared" si="2"/>
        <v>101106.75728594272</v>
      </c>
      <c r="AD8" s="366">
        <f t="shared" si="2"/>
        <v>102117.82485880214</v>
      </c>
      <c r="AE8" s="366">
        <f t="shared" si="2"/>
        <v>103139.00310739016</v>
      </c>
      <c r="AF8" s="366">
        <f t="shared" si="2"/>
        <v>104170.39313846406</v>
      </c>
      <c r="AG8" s="366">
        <f t="shared" si="2"/>
        <v>105212.0970698487</v>
      </c>
      <c r="AH8" s="366">
        <f t="shared" si="2"/>
        <v>106264.21804054719</v>
      </c>
      <c r="AI8" s="366">
        <f t="shared" si="2"/>
        <v>107326.86022095266</v>
      </c>
      <c r="AJ8" s="366">
        <f t="shared" si="2"/>
        <v>108400.12882316219</v>
      </c>
      <c r="AK8" s="366">
        <f t="shared" si="2"/>
        <v>109484.13011139381</v>
      </c>
      <c r="AL8" s="313">
        <v>0</v>
      </c>
      <c r="AM8" s="315"/>
      <c r="AN8" s="316"/>
      <c r="AO8" s="317"/>
    </row>
    <row r="9" spans="1:41" ht="15" customHeight="1">
      <c r="A9" s="365" t="s">
        <v>188</v>
      </c>
      <c r="B9" s="367">
        <f>80/12</f>
        <v>6.666666666666667</v>
      </c>
      <c r="C9" s="367">
        <f aca="true" t="shared" si="3" ref="C9:AK9">80/12</f>
        <v>6.666666666666667</v>
      </c>
      <c r="D9" s="367">
        <f t="shared" si="3"/>
        <v>6.666666666666667</v>
      </c>
      <c r="E9" s="367">
        <f t="shared" si="3"/>
        <v>6.666666666666667</v>
      </c>
      <c r="F9" s="367">
        <f t="shared" si="3"/>
        <v>6.666666666666667</v>
      </c>
      <c r="G9" s="367">
        <f t="shared" si="3"/>
        <v>6.666666666666667</v>
      </c>
      <c r="H9" s="367">
        <f t="shared" si="3"/>
        <v>6.666666666666667</v>
      </c>
      <c r="I9" s="367">
        <f t="shared" si="3"/>
        <v>6.666666666666667</v>
      </c>
      <c r="J9" s="367">
        <f t="shared" si="3"/>
        <v>6.666666666666667</v>
      </c>
      <c r="K9" s="367">
        <f t="shared" si="3"/>
        <v>6.666666666666667</v>
      </c>
      <c r="L9" s="367">
        <f t="shared" si="3"/>
        <v>6.666666666666667</v>
      </c>
      <c r="M9" s="367">
        <f t="shared" si="3"/>
        <v>6.666666666666667</v>
      </c>
      <c r="N9" s="367">
        <f t="shared" si="3"/>
        <v>6.666666666666667</v>
      </c>
      <c r="O9" s="367">
        <f t="shared" si="3"/>
        <v>6.666666666666667</v>
      </c>
      <c r="P9" s="367">
        <f t="shared" si="3"/>
        <v>6.666666666666667</v>
      </c>
      <c r="Q9" s="367">
        <f t="shared" si="3"/>
        <v>6.666666666666667</v>
      </c>
      <c r="R9" s="367">
        <f t="shared" si="3"/>
        <v>6.666666666666667</v>
      </c>
      <c r="S9" s="367">
        <f t="shared" si="3"/>
        <v>6.666666666666667</v>
      </c>
      <c r="T9" s="367">
        <f t="shared" si="3"/>
        <v>6.666666666666667</v>
      </c>
      <c r="U9" s="367">
        <f t="shared" si="3"/>
        <v>6.666666666666667</v>
      </c>
      <c r="V9" s="367">
        <f t="shared" si="3"/>
        <v>6.666666666666667</v>
      </c>
      <c r="W9" s="367">
        <f t="shared" si="3"/>
        <v>6.666666666666667</v>
      </c>
      <c r="X9" s="367">
        <f t="shared" si="3"/>
        <v>6.666666666666667</v>
      </c>
      <c r="Y9" s="367">
        <f t="shared" si="3"/>
        <v>6.666666666666667</v>
      </c>
      <c r="Z9" s="367">
        <f t="shared" si="3"/>
        <v>6.666666666666667</v>
      </c>
      <c r="AA9" s="367">
        <f t="shared" si="3"/>
        <v>6.666666666666667</v>
      </c>
      <c r="AB9" s="367">
        <f t="shared" si="3"/>
        <v>6.666666666666667</v>
      </c>
      <c r="AC9" s="367">
        <f t="shared" si="3"/>
        <v>6.666666666666667</v>
      </c>
      <c r="AD9" s="367">
        <f t="shared" si="3"/>
        <v>6.666666666666667</v>
      </c>
      <c r="AE9" s="367">
        <f t="shared" si="3"/>
        <v>6.666666666666667</v>
      </c>
      <c r="AF9" s="367">
        <f t="shared" si="3"/>
        <v>6.666666666666667</v>
      </c>
      <c r="AG9" s="367">
        <f t="shared" si="3"/>
        <v>6.666666666666667</v>
      </c>
      <c r="AH9" s="367">
        <f t="shared" si="3"/>
        <v>6.666666666666667</v>
      </c>
      <c r="AI9" s="367">
        <f t="shared" si="3"/>
        <v>6.666666666666667</v>
      </c>
      <c r="AJ9" s="367">
        <f t="shared" si="3"/>
        <v>6.666666666666667</v>
      </c>
      <c r="AK9" s="367">
        <f t="shared" si="3"/>
        <v>6.666666666666667</v>
      </c>
      <c r="AL9" s="313">
        <v>0</v>
      </c>
      <c r="AM9" s="315"/>
      <c r="AN9" s="316"/>
      <c r="AO9" s="317"/>
    </row>
    <row r="10" spans="1:41" ht="15" customHeight="1">
      <c r="A10" s="369" t="s">
        <v>204</v>
      </c>
      <c r="B10" s="370">
        <f>B8*B9</f>
        <v>13333.333333333334</v>
      </c>
      <c r="C10" s="370">
        <f aca="true" t="shared" si="4" ref="C10:AK10">C8*C9</f>
        <v>20000</v>
      </c>
      <c r="D10" s="370">
        <f t="shared" si="4"/>
        <v>40000</v>
      </c>
      <c r="E10" s="370">
        <f t="shared" si="4"/>
        <v>48000</v>
      </c>
      <c r="F10" s="370">
        <f t="shared" si="4"/>
        <v>57600</v>
      </c>
      <c r="G10" s="370">
        <f t="shared" si="4"/>
        <v>69120</v>
      </c>
      <c r="H10" s="370">
        <f t="shared" si="4"/>
        <v>82944</v>
      </c>
      <c r="I10" s="370">
        <f t="shared" si="4"/>
        <v>99532.8</v>
      </c>
      <c r="J10" s="370">
        <f t="shared" si="4"/>
        <v>119439.36</v>
      </c>
      <c r="K10" s="370">
        <f t="shared" si="4"/>
        <v>143327.232</v>
      </c>
      <c r="L10" s="370">
        <f t="shared" si="4"/>
        <v>171992.67839999998</v>
      </c>
      <c r="M10" s="370">
        <f t="shared" si="4"/>
        <v>206391.21407999998</v>
      </c>
      <c r="N10" s="370">
        <f t="shared" si="4"/>
        <v>227030.33548799998</v>
      </c>
      <c r="O10" s="370">
        <f t="shared" si="4"/>
        <v>249733.3690368</v>
      </c>
      <c r="P10" s="370">
        <f t="shared" si="4"/>
        <v>274706.70594048005</v>
      </c>
      <c r="Q10" s="370">
        <f t="shared" si="4"/>
        <v>302177.3765345281</v>
      </c>
      <c r="R10" s="370">
        <f t="shared" si="4"/>
        <v>332395.1141879809</v>
      </c>
      <c r="S10" s="370">
        <f t="shared" si="4"/>
        <v>365634.625606779</v>
      </c>
      <c r="T10" s="370">
        <f t="shared" si="4"/>
        <v>402198.08816745697</v>
      </c>
      <c r="U10" s="370">
        <f t="shared" si="4"/>
        <v>442417.89698420267</v>
      </c>
      <c r="V10" s="370">
        <f t="shared" si="4"/>
        <v>486659.686682623</v>
      </c>
      <c r="W10" s="370">
        <f t="shared" si="4"/>
        <v>535325.6553508854</v>
      </c>
      <c r="X10" s="370">
        <f t="shared" si="4"/>
        <v>588858.2208859739</v>
      </c>
      <c r="Y10" s="370">
        <f t="shared" si="4"/>
        <v>647744.0429745713</v>
      </c>
      <c r="Z10" s="370">
        <f t="shared" si="4"/>
        <v>654221.4834043172</v>
      </c>
      <c r="AA10" s="370">
        <f t="shared" si="4"/>
        <v>660763.6982383603</v>
      </c>
      <c r="AB10" s="370">
        <f t="shared" si="4"/>
        <v>667371.335220744</v>
      </c>
      <c r="AC10" s="370">
        <f t="shared" si="4"/>
        <v>674045.0485729515</v>
      </c>
      <c r="AD10" s="370">
        <f t="shared" si="4"/>
        <v>680785.499058681</v>
      </c>
      <c r="AE10" s="370">
        <f t="shared" si="4"/>
        <v>687593.3540492678</v>
      </c>
      <c r="AF10" s="370">
        <f t="shared" si="4"/>
        <v>694469.2875897604</v>
      </c>
      <c r="AG10" s="370">
        <f t="shared" si="4"/>
        <v>701413.9804656581</v>
      </c>
      <c r="AH10" s="370">
        <f t="shared" si="4"/>
        <v>708428.1202703146</v>
      </c>
      <c r="AI10" s="370">
        <f t="shared" si="4"/>
        <v>715512.4014730178</v>
      </c>
      <c r="AJ10" s="370">
        <f t="shared" si="4"/>
        <v>722667.525487748</v>
      </c>
      <c r="AK10" s="370">
        <f t="shared" si="4"/>
        <v>729894.2007426254</v>
      </c>
      <c r="AL10" s="313">
        <v>0</v>
      </c>
      <c r="AM10" s="315">
        <f>SUM(B10:M10)</f>
        <v>1071680.6178133334</v>
      </c>
      <c r="AN10" s="316">
        <f>SUM(N10:Y10)</f>
        <v>4854881.117840282</v>
      </c>
      <c r="AO10" s="317">
        <f>SUM(Z10:AK10)</f>
        <v>8297165.9345734455</v>
      </c>
    </row>
    <row r="11" spans="1:41" s="236" customFormat="1" ht="15" customHeight="1">
      <c r="A11" s="364" t="s">
        <v>189</v>
      </c>
      <c r="B11" s="378">
        <v>8000</v>
      </c>
      <c r="C11" s="378">
        <v>8000</v>
      </c>
      <c r="D11" s="378">
        <v>8000</v>
      </c>
      <c r="E11" s="378">
        <v>8000</v>
      </c>
      <c r="F11" s="378">
        <v>8000</v>
      </c>
      <c r="G11" s="378">
        <v>8000</v>
      </c>
      <c r="H11" s="378">
        <v>10000</v>
      </c>
      <c r="I11" s="378">
        <v>10000</v>
      </c>
      <c r="J11" s="378">
        <v>10000</v>
      </c>
      <c r="K11" s="378">
        <v>10000</v>
      </c>
      <c r="L11" s="378">
        <v>10000</v>
      </c>
      <c r="M11" s="378">
        <v>10000</v>
      </c>
      <c r="N11" s="378">
        <v>11000</v>
      </c>
      <c r="O11" s="378">
        <v>12100</v>
      </c>
      <c r="P11" s="378">
        <v>13310</v>
      </c>
      <c r="Q11" s="378">
        <v>14641.000000000002</v>
      </c>
      <c r="R11" s="378">
        <v>16105.100000000002</v>
      </c>
      <c r="S11" s="378">
        <v>17715.610000000004</v>
      </c>
      <c r="T11" s="378">
        <v>19487.171000000006</v>
      </c>
      <c r="U11" s="378">
        <v>21435.888100000007</v>
      </c>
      <c r="V11" s="378">
        <v>23579.47691000001</v>
      </c>
      <c r="W11" s="378">
        <v>25937.424601000013</v>
      </c>
      <c r="X11" s="378">
        <v>28531.167061100015</v>
      </c>
      <c r="Y11" s="378">
        <v>31384.283767210018</v>
      </c>
      <c r="Z11" s="378">
        <v>31698.12660488212</v>
      </c>
      <c r="AA11" s="378">
        <v>32015.107870930937</v>
      </c>
      <c r="AB11" s="378">
        <v>32335.258949640247</v>
      </c>
      <c r="AC11" s="378">
        <v>32658.61153913665</v>
      </c>
      <c r="AD11" s="378">
        <v>32985.19765452801</v>
      </c>
      <c r="AE11" s="378">
        <v>33315.04963107329</v>
      </c>
      <c r="AF11" s="378">
        <v>33648.20012738403</v>
      </c>
      <c r="AG11" s="378">
        <v>33984.68212865786</v>
      </c>
      <c r="AH11" s="378">
        <v>34324.52894994444</v>
      </c>
      <c r="AI11" s="378">
        <v>34667.77423944389</v>
      </c>
      <c r="AJ11" s="378">
        <v>35014.45198183833</v>
      </c>
      <c r="AK11" s="378">
        <v>35364.59650165671</v>
      </c>
      <c r="AL11" s="372"/>
      <c r="AM11" s="373"/>
      <c r="AN11" s="374"/>
      <c r="AO11" s="375"/>
    </row>
    <row r="12" spans="1:41" s="236" customFormat="1" ht="15" customHeight="1">
      <c r="A12" s="379" t="s">
        <v>190</v>
      </c>
      <c r="B12" s="368">
        <v>10</v>
      </c>
      <c r="C12" s="368">
        <v>10</v>
      </c>
      <c r="D12" s="368">
        <v>10</v>
      </c>
      <c r="E12" s="368">
        <v>10</v>
      </c>
      <c r="F12" s="368">
        <v>10</v>
      </c>
      <c r="G12" s="368">
        <v>10</v>
      </c>
      <c r="H12" s="368">
        <v>10</v>
      </c>
      <c r="I12" s="368">
        <v>10</v>
      </c>
      <c r="J12" s="368">
        <v>10</v>
      </c>
      <c r="K12" s="368">
        <v>10</v>
      </c>
      <c r="L12" s="368">
        <v>10</v>
      </c>
      <c r="M12" s="368">
        <v>10</v>
      </c>
      <c r="N12" s="368">
        <v>10</v>
      </c>
      <c r="O12" s="368">
        <v>10</v>
      </c>
      <c r="P12" s="368">
        <v>10</v>
      </c>
      <c r="Q12" s="368">
        <v>10</v>
      </c>
      <c r="R12" s="368">
        <v>10</v>
      </c>
      <c r="S12" s="368">
        <v>10</v>
      </c>
      <c r="T12" s="368">
        <v>10</v>
      </c>
      <c r="U12" s="368">
        <v>10</v>
      </c>
      <c r="V12" s="368">
        <v>10</v>
      </c>
      <c r="W12" s="368">
        <v>10</v>
      </c>
      <c r="X12" s="368">
        <v>10</v>
      </c>
      <c r="Y12" s="368">
        <v>10</v>
      </c>
      <c r="Z12" s="368">
        <v>10</v>
      </c>
      <c r="AA12" s="368">
        <v>10</v>
      </c>
      <c r="AB12" s="368">
        <v>10</v>
      </c>
      <c r="AC12" s="368">
        <v>10</v>
      </c>
      <c r="AD12" s="368">
        <v>10</v>
      </c>
      <c r="AE12" s="368">
        <v>10</v>
      </c>
      <c r="AF12" s="368">
        <v>10</v>
      </c>
      <c r="AG12" s="368">
        <v>10</v>
      </c>
      <c r="AH12" s="368">
        <v>10</v>
      </c>
      <c r="AI12" s="368">
        <v>10</v>
      </c>
      <c r="AJ12" s="368">
        <v>10</v>
      </c>
      <c r="AK12" s="368">
        <v>10</v>
      </c>
      <c r="AL12" s="372">
        <v>0</v>
      </c>
      <c r="AM12" s="373"/>
      <c r="AN12" s="374"/>
      <c r="AO12" s="375"/>
    </row>
    <row r="13" spans="1:41" s="236" customFormat="1" ht="15" customHeight="1">
      <c r="A13" s="377" t="s">
        <v>192</v>
      </c>
      <c r="B13" s="368">
        <f>B11/B12</f>
        <v>800</v>
      </c>
      <c r="C13" s="368">
        <f aca="true" t="shared" si="5" ref="C13:AK13">C11/C12</f>
        <v>800</v>
      </c>
      <c r="D13" s="368">
        <f t="shared" si="5"/>
        <v>800</v>
      </c>
      <c r="E13" s="368">
        <f t="shared" si="5"/>
        <v>800</v>
      </c>
      <c r="F13" s="368">
        <f t="shared" si="5"/>
        <v>800</v>
      </c>
      <c r="G13" s="368">
        <f t="shared" si="5"/>
        <v>800</v>
      </c>
      <c r="H13" s="368">
        <f t="shared" si="5"/>
        <v>1000</v>
      </c>
      <c r="I13" s="368">
        <f t="shared" si="5"/>
        <v>1000</v>
      </c>
      <c r="J13" s="368">
        <f t="shared" si="5"/>
        <v>1000</v>
      </c>
      <c r="K13" s="368">
        <f t="shared" si="5"/>
        <v>1000</v>
      </c>
      <c r="L13" s="368">
        <f t="shared" si="5"/>
        <v>1000</v>
      </c>
      <c r="M13" s="368">
        <f t="shared" si="5"/>
        <v>1000</v>
      </c>
      <c r="N13" s="368">
        <f t="shared" si="5"/>
        <v>1100</v>
      </c>
      <c r="O13" s="368">
        <f t="shared" si="5"/>
        <v>1210</v>
      </c>
      <c r="P13" s="368">
        <f t="shared" si="5"/>
        <v>1331</v>
      </c>
      <c r="Q13" s="368">
        <f t="shared" si="5"/>
        <v>1464.1000000000001</v>
      </c>
      <c r="R13" s="368">
        <f t="shared" si="5"/>
        <v>1610.5100000000002</v>
      </c>
      <c r="S13" s="368">
        <f t="shared" si="5"/>
        <v>1771.5610000000004</v>
      </c>
      <c r="T13" s="368">
        <f t="shared" si="5"/>
        <v>1948.7171000000005</v>
      </c>
      <c r="U13" s="368">
        <f t="shared" si="5"/>
        <v>2143.5888100000006</v>
      </c>
      <c r="V13" s="368">
        <f t="shared" si="5"/>
        <v>2357.9476910000008</v>
      </c>
      <c r="W13" s="368">
        <f t="shared" si="5"/>
        <v>2593.742460100001</v>
      </c>
      <c r="X13" s="368">
        <f t="shared" si="5"/>
        <v>2853.1167061100014</v>
      </c>
      <c r="Y13" s="368">
        <f t="shared" si="5"/>
        <v>3138.4283767210018</v>
      </c>
      <c r="Z13" s="368">
        <f t="shared" si="5"/>
        <v>3169.812660488212</v>
      </c>
      <c r="AA13" s="368">
        <f t="shared" si="5"/>
        <v>3201.5107870930938</v>
      </c>
      <c r="AB13" s="368">
        <f t="shared" si="5"/>
        <v>3233.5258949640247</v>
      </c>
      <c r="AC13" s="368">
        <f t="shared" si="5"/>
        <v>3265.861153913665</v>
      </c>
      <c r="AD13" s="368">
        <f t="shared" si="5"/>
        <v>3298.519765452801</v>
      </c>
      <c r="AE13" s="368">
        <f t="shared" si="5"/>
        <v>3331.5049631073293</v>
      </c>
      <c r="AF13" s="368">
        <f t="shared" si="5"/>
        <v>3364.820012738403</v>
      </c>
      <c r="AG13" s="368">
        <f t="shared" si="5"/>
        <v>3398.4682128657864</v>
      </c>
      <c r="AH13" s="368">
        <f t="shared" si="5"/>
        <v>3432.4528949944443</v>
      </c>
      <c r="AI13" s="368">
        <f t="shared" si="5"/>
        <v>3466.777423944389</v>
      </c>
      <c r="AJ13" s="368">
        <f t="shared" si="5"/>
        <v>3501.445198183833</v>
      </c>
      <c r="AK13" s="368">
        <f t="shared" si="5"/>
        <v>3536.4596501656715</v>
      </c>
      <c r="AL13" s="372">
        <v>0</v>
      </c>
      <c r="AM13" s="373"/>
      <c r="AN13" s="374"/>
      <c r="AO13" s="375"/>
    </row>
    <row r="14" spans="1:41" s="236" customFormat="1" ht="15" customHeight="1">
      <c r="A14" s="364" t="s">
        <v>191</v>
      </c>
      <c r="B14" s="368">
        <v>25</v>
      </c>
      <c r="C14" s="368">
        <v>25</v>
      </c>
      <c r="D14" s="368">
        <v>25</v>
      </c>
      <c r="E14" s="368">
        <v>25</v>
      </c>
      <c r="F14" s="368">
        <v>25</v>
      </c>
      <c r="G14" s="368">
        <v>25</v>
      </c>
      <c r="H14" s="368">
        <v>25</v>
      </c>
      <c r="I14" s="368">
        <v>25</v>
      </c>
      <c r="J14" s="368">
        <v>25</v>
      </c>
      <c r="K14" s="368">
        <v>25</v>
      </c>
      <c r="L14" s="368">
        <v>25</v>
      </c>
      <c r="M14" s="368">
        <v>25</v>
      </c>
      <c r="N14" s="368">
        <v>25</v>
      </c>
      <c r="O14" s="368">
        <v>25</v>
      </c>
      <c r="P14" s="368">
        <v>25</v>
      </c>
      <c r="Q14" s="368">
        <v>25</v>
      </c>
      <c r="R14" s="368">
        <v>25</v>
      </c>
      <c r="S14" s="368">
        <v>25</v>
      </c>
      <c r="T14" s="368">
        <v>25</v>
      </c>
      <c r="U14" s="368">
        <v>25</v>
      </c>
      <c r="V14" s="368">
        <v>25</v>
      </c>
      <c r="W14" s="368">
        <v>25</v>
      </c>
      <c r="X14" s="368">
        <v>25</v>
      </c>
      <c r="Y14" s="368">
        <v>25</v>
      </c>
      <c r="Z14" s="368">
        <v>25</v>
      </c>
      <c r="AA14" s="368">
        <v>25</v>
      </c>
      <c r="AB14" s="368">
        <v>25</v>
      </c>
      <c r="AC14" s="368">
        <v>25</v>
      </c>
      <c r="AD14" s="368">
        <v>25</v>
      </c>
      <c r="AE14" s="368">
        <v>25</v>
      </c>
      <c r="AF14" s="368">
        <v>25</v>
      </c>
      <c r="AG14" s="368">
        <v>25</v>
      </c>
      <c r="AH14" s="368">
        <v>25</v>
      </c>
      <c r="AI14" s="368">
        <v>25</v>
      </c>
      <c r="AJ14" s="368">
        <v>25</v>
      </c>
      <c r="AK14" s="368">
        <v>25</v>
      </c>
      <c r="AL14" s="372">
        <v>0</v>
      </c>
      <c r="AM14" s="373"/>
      <c r="AN14" s="374"/>
      <c r="AO14" s="375"/>
    </row>
    <row r="15" spans="1:41" s="236" customFormat="1" ht="15" customHeight="1">
      <c r="A15" s="380" t="s">
        <v>193</v>
      </c>
      <c r="B15" s="370">
        <f>B13*B14</f>
        <v>20000</v>
      </c>
      <c r="C15" s="370">
        <f aca="true" t="shared" si="6" ref="C15:AK15">C13*C14</f>
        <v>20000</v>
      </c>
      <c r="D15" s="370">
        <f t="shared" si="6"/>
        <v>20000</v>
      </c>
      <c r="E15" s="370">
        <f t="shared" si="6"/>
        <v>20000</v>
      </c>
      <c r="F15" s="370">
        <f t="shared" si="6"/>
        <v>20000</v>
      </c>
      <c r="G15" s="370">
        <f t="shared" si="6"/>
        <v>20000</v>
      </c>
      <c r="H15" s="370">
        <f t="shared" si="6"/>
        <v>25000</v>
      </c>
      <c r="I15" s="370">
        <f t="shared" si="6"/>
        <v>25000</v>
      </c>
      <c r="J15" s="370">
        <f t="shared" si="6"/>
        <v>25000</v>
      </c>
      <c r="K15" s="370">
        <f t="shared" si="6"/>
        <v>25000</v>
      </c>
      <c r="L15" s="370">
        <f t="shared" si="6"/>
        <v>25000</v>
      </c>
      <c r="M15" s="370">
        <f t="shared" si="6"/>
        <v>25000</v>
      </c>
      <c r="N15" s="370">
        <f t="shared" si="6"/>
        <v>27500</v>
      </c>
      <c r="O15" s="370">
        <f t="shared" si="6"/>
        <v>30250</v>
      </c>
      <c r="P15" s="370">
        <f t="shared" si="6"/>
        <v>33275</v>
      </c>
      <c r="Q15" s="370">
        <f t="shared" si="6"/>
        <v>36602.5</v>
      </c>
      <c r="R15" s="370">
        <f t="shared" si="6"/>
        <v>40262.75000000001</v>
      </c>
      <c r="S15" s="370">
        <f t="shared" si="6"/>
        <v>44289.02500000001</v>
      </c>
      <c r="T15" s="370">
        <f t="shared" si="6"/>
        <v>48717.92750000001</v>
      </c>
      <c r="U15" s="370">
        <f t="shared" si="6"/>
        <v>53589.72025000001</v>
      </c>
      <c r="V15" s="370">
        <f t="shared" si="6"/>
        <v>58948.692275000016</v>
      </c>
      <c r="W15" s="370">
        <f t="shared" si="6"/>
        <v>64843.56150250003</v>
      </c>
      <c r="X15" s="370">
        <f t="shared" si="6"/>
        <v>71327.91765275004</v>
      </c>
      <c r="Y15" s="370">
        <f t="shared" si="6"/>
        <v>78460.70941802504</v>
      </c>
      <c r="Z15" s="370">
        <f t="shared" si="6"/>
        <v>79245.31651220529</v>
      </c>
      <c r="AA15" s="370">
        <f t="shared" si="6"/>
        <v>80037.76967732735</v>
      </c>
      <c r="AB15" s="370">
        <f t="shared" si="6"/>
        <v>80838.14737410062</v>
      </c>
      <c r="AC15" s="370">
        <f t="shared" si="6"/>
        <v>81646.52884784162</v>
      </c>
      <c r="AD15" s="370">
        <f t="shared" si="6"/>
        <v>82462.99413632002</v>
      </c>
      <c r="AE15" s="370">
        <f t="shared" si="6"/>
        <v>83287.62407768323</v>
      </c>
      <c r="AF15" s="370">
        <f t="shared" si="6"/>
        <v>84120.50031846008</v>
      </c>
      <c r="AG15" s="370">
        <f t="shared" si="6"/>
        <v>84961.70532164467</v>
      </c>
      <c r="AH15" s="370">
        <f t="shared" si="6"/>
        <v>85811.3223748611</v>
      </c>
      <c r="AI15" s="370">
        <f t="shared" si="6"/>
        <v>86669.43559860972</v>
      </c>
      <c r="AJ15" s="370">
        <f t="shared" si="6"/>
        <v>87536.12995459582</v>
      </c>
      <c r="AK15" s="370">
        <f t="shared" si="6"/>
        <v>88411.49125414179</v>
      </c>
      <c r="AL15" s="372">
        <v>0</v>
      </c>
      <c r="AM15" s="315">
        <f>SUM(B15:M15)</f>
        <v>270000</v>
      </c>
      <c r="AN15" s="316">
        <f>SUM(N15:Y15)</f>
        <v>588067.8035982752</v>
      </c>
      <c r="AO15" s="317">
        <f>SUM(Z15:AK15)</f>
        <v>1005028.9654477913</v>
      </c>
    </row>
    <row r="16" spans="1:41" s="236" customFormat="1" ht="15" customHeight="1">
      <c r="A16" s="365" t="s">
        <v>194</v>
      </c>
      <c r="B16" s="366">
        <v>1</v>
      </c>
      <c r="C16" s="366">
        <v>2</v>
      </c>
      <c r="D16" s="366">
        <v>3</v>
      </c>
      <c r="E16" s="366">
        <v>4</v>
      </c>
      <c r="F16" s="366">
        <v>5</v>
      </c>
      <c r="G16" s="366">
        <v>6</v>
      </c>
      <c r="H16" s="366">
        <v>7</v>
      </c>
      <c r="I16" s="366">
        <v>8</v>
      </c>
      <c r="J16" s="366">
        <v>9</v>
      </c>
      <c r="K16" s="366">
        <v>10</v>
      </c>
      <c r="L16" s="366">
        <v>10</v>
      </c>
      <c r="M16" s="366">
        <v>10</v>
      </c>
      <c r="N16" s="366">
        <v>10</v>
      </c>
      <c r="O16" s="366">
        <v>10</v>
      </c>
      <c r="P16" s="366">
        <v>10</v>
      </c>
      <c r="Q16" s="366">
        <v>10</v>
      </c>
      <c r="R16" s="366">
        <v>10</v>
      </c>
      <c r="S16" s="366">
        <v>10</v>
      </c>
      <c r="T16" s="366">
        <v>10</v>
      </c>
      <c r="U16" s="366">
        <v>10</v>
      </c>
      <c r="V16" s="366">
        <v>10</v>
      </c>
      <c r="W16" s="366">
        <v>10</v>
      </c>
      <c r="X16" s="366">
        <v>10</v>
      </c>
      <c r="Y16" s="366">
        <v>10</v>
      </c>
      <c r="Z16" s="366">
        <v>10</v>
      </c>
      <c r="AA16" s="366">
        <v>10</v>
      </c>
      <c r="AB16" s="366">
        <v>10</v>
      </c>
      <c r="AC16" s="366">
        <v>10</v>
      </c>
      <c r="AD16" s="366">
        <v>10</v>
      </c>
      <c r="AE16" s="366">
        <v>10</v>
      </c>
      <c r="AF16" s="366">
        <v>10</v>
      </c>
      <c r="AG16" s="366">
        <v>10</v>
      </c>
      <c r="AH16" s="366">
        <v>10</v>
      </c>
      <c r="AI16" s="366">
        <v>10</v>
      </c>
      <c r="AJ16" s="366">
        <v>10</v>
      </c>
      <c r="AK16" s="366">
        <v>10</v>
      </c>
      <c r="AL16" s="372">
        <v>0</v>
      </c>
      <c r="AM16" s="373"/>
      <c r="AN16" s="374"/>
      <c r="AO16" s="375"/>
    </row>
    <row r="17" spans="1:41" s="236" customFormat="1" ht="15" customHeight="1">
      <c r="A17" s="365" t="s">
        <v>195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>
        <f aca="true" t="shared" si="7" ref="N17:AO17">0.1*10000*N16</f>
        <v>10000</v>
      </c>
      <c r="O17" s="366">
        <f t="shared" si="7"/>
        <v>10000</v>
      </c>
      <c r="P17" s="366">
        <f t="shared" si="7"/>
        <v>10000</v>
      </c>
      <c r="Q17" s="366">
        <f t="shared" si="7"/>
        <v>10000</v>
      </c>
      <c r="R17" s="366">
        <f t="shared" si="7"/>
        <v>10000</v>
      </c>
      <c r="S17" s="366">
        <f t="shared" si="7"/>
        <v>10000</v>
      </c>
      <c r="T17" s="366">
        <f t="shared" si="7"/>
        <v>10000</v>
      </c>
      <c r="U17" s="366">
        <f t="shared" si="7"/>
        <v>10000</v>
      </c>
      <c r="V17" s="366">
        <f t="shared" si="7"/>
        <v>10000</v>
      </c>
      <c r="W17" s="366">
        <f t="shared" si="7"/>
        <v>10000</v>
      </c>
      <c r="X17" s="366">
        <f t="shared" si="7"/>
        <v>10000</v>
      </c>
      <c r="Y17" s="366">
        <f t="shared" si="7"/>
        <v>10000</v>
      </c>
      <c r="Z17" s="366">
        <f t="shared" si="7"/>
        <v>10000</v>
      </c>
      <c r="AA17" s="366">
        <f t="shared" si="7"/>
        <v>10000</v>
      </c>
      <c r="AB17" s="366">
        <f t="shared" si="7"/>
        <v>10000</v>
      </c>
      <c r="AC17" s="366">
        <f t="shared" si="7"/>
        <v>10000</v>
      </c>
      <c r="AD17" s="366">
        <f t="shared" si="7"/>
        <v>10000</v>
      </c>
      <c r="AE17" s="366">
        <f t="shared" si="7"/>
        <v>10000</v>
      </c>
      <c r="AF17" s="366">
        <f t="shared" si="7"/>
        <v>10000</v>
      </c>
      <c r="AG17" s="366">
        <f t="shared" si="7"/>
        <v>10000</v>
      </c>
      <c r="AH17" s="366">
        <f t="shared" si="7"/>
        <v>10000</v>
      </c>
      <c r="AI17" s="366">
        <f t="shared" si="7"/>
        <v>10000</v>
      </c>
      <c r="AJ17" s="366">
        <f t="shared" si="7"/>
        <v>10000</v>
      </c>
      <c r="AK17" s="366">
        <f t="shared" si="7"/>
        <v>10000</v>
      </c>
      <c r="AL17" s="366">
        <v>0</v>
      </c>
      <c r="AM17" s="366">
        <f t="shared" si="7"/>
        <v>0</v>
      </c>
      <c r="AN17" s="366">
        <f t="shared" si="7"/>
        <v>0</v>
      </c>
      <c r="AO17" s="366">
        <f t="shared" si="7"/>
        <v>0</v>
      </c>
    </row>
    <row r="18" spans="1:41" s="236" customFormat="1" ht="15" customHeight="1">
      <c r="A18" s="380" t="s">
        <v>205</v>
      </c>
      <c r="B18" s="380">
        <f>B16*B17</f>
        <v>0</v>
      </c>
      <c r="C18" s="370">
        <f aca="true" t="shared" si="8" ref="C18:AK18">C16*C17</f>
        <v>0</v>
      </c>
      <c r="D18" s="370">
        <f t="shared" si="8"/>
        <v>0</v>
      </c>
      <c r="E18" s="370">
        <f t="shared" si="8"/>
        <v>0</v>
      </c>
      <c r="F18" s="370">
        <f t="shared" si="8"/>
        <v>0</v>
      </c>
      <c r="G18" s="370">
        <f t="shared" si="8"/>
        <v>0</v>
      </c>
      <c r="H18" s="370">
        <f t="shared" si="8"/>
        <v>0</v>
      </c>
      <c r="I18" s="370">
        <f t="shared" si="8"/>
        <v>0</v>
      </c>
      <c r="J18" s="370">
        <f t="shared" si="8"/>
        <v>0</v>
      </c>
      <c r="K18" s="370">
        <f t="shared" si="8"/>
        <v>0</v>
      </c>
      <c r="L18" s="370">
        <f t="shared" si="8"/>
        <v>0</v>
      </c>
      <c r="M18" s="370">
        <f t="shared" si="8"/>
        <v>0</v>
      </c>
      <c r="N18" s="370">
        <f t="shared" si="8"/>
        <v>100000</v>
      </c>
      <c r="O18" s="370">
        <f t="shared" si="8"/>
        <v>100000</v>
      </c>
      <c r="P18" s="370">
        <f t="shared" si="8"/>
        <v>100000</v>
      </c>
      <c r="Q18" s="370">
        <f t="shared" si="8"/>
        <v>100000</v>
      </c>
      <c r="R18" s="370">
        <f t="shared" si="8"/>
        <v>100000</v>
      </c>
      <c r="S18" s="370">
        <f t="shared" si="8"/>
        <v>100000</v>
      </c>
      <c r="T18" s="370">
        <f t="shared" si="8"/>
        <v>100000</v>
      </c>
      <c r="U18" s="370">
        <f t="shared" si="8"/>
        <v>100000</v>
      </c>
      <c r="V18" s="370">
        <f t="shared" si="8"/>
        <v>100000</v>
      </c>
      <c r="W18" s="370">
        <f t="shared" si="8"/>
        <v>100000</v>
      </c>
      <c r="X18" s="370">
        <f t="shared" si="8"/>
        <v>100000</v>
      </c>
      <c r="Y18" s="370">
        <f t="shared" si="8"/>
        <v>100000</v>
      </c>
      <c r="Z18" s="370">
        <f t="shared" si="8"/>
        <v>100000</v>
      </c>
      <c r="AA18" s="370">
        <f t="shared" si="8"/>
        <v>100000</v>
      </c>
      <c r="AB18" s="370">
        <f t="shared" si="8"/>
        <v>100000</v>
      </c>
      <c r="AC18" s="370">
        <f t="shared" si="8"/>
        <v>100000</v>
      </c>
      <c r="AD18" s="370">
        <f t="shared" si="8"/>
        <v>100000</v>
      </c>
      <c r="AE18" s="370">
        <f t="shared" si="8"/>
        <v>100000</v>
      </c>
      <c r="AF18" s="370">
        <f t="shared" si="8"/>
        <v>100000</v>
      </c>
      <c r="AG18" s="370">
        <f t="shared" si="8"/>
        <v>100000</v>
      </c>
      <c r="AH18" s="370">
        <f t="shared" si="8"/>
        <v>100000</v>
      </c>
      <c r="AI18" s="370">
        <f t="shared" si="8"/>
        <v>100000</v>
      </c>
      <c r="AJ18" s="370">
        <f t="shared" si="8"/>
        <v>100000</v>
      </c>
      <c r="AK18" s="370">
        <f t="shared" si="8"/>
        <v>100000</v>
      </c>
      <c r="AL18" s="370">
        <v>0</v>
      </c>
      <c r="AM18" s="315">
        <f>SUM(B18:M18)</f>
        <v>0</v>
      </c>
      <c r="AN18" s="316">
        <f>SUM(N18:Y18)</f>
        <v>1200000</v>
      </c>
      <c r="AO18" s="317">
        <f>SUM(Z18:AK18)</f>
        <v>1200000</v>
      </c>
    </row>
    <row r="19" spans="1:41" s="236" customFormat="1" ht="15" customHeight="1">
      <c r="A19" s="365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</row>
    <row r="20" spans="1:41" ht="15" customHeight="1">
      <c r="A20" s="117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13">
        <v>0</v>
      </c>
      <c r="AM20" s="315"/>
      <c r="AN20" s="316"/>
      <c r="AO20" s="317"/>
    </row>
    <row r="21" spans="1:41" ht="15" customHeight="1">
      <c r="A21" s="226" t="s">
        <v>196</v>
      </c>
      <c r="B21" s="322">
        <f>B10+B15+B18</f>
        <v>33333.333333333336</v>
      </c>
      <c r="C21" s="322">
        <f aca="true" t="shared" si="9" ref="C21:AK21">C10+C15+C18</f>
        <v>40000</v>
      </c>
      <c r="D21" s="322">
        <f t="shared" si="9"/>
        <v>60000</v>
      </c>
      <c r="E21" s="322">
        <f t="shared" si="9"/>
        <v>68000</v>
      </c>
      <c r="F21" s="322">
        <f t="shared" si="9"/>
        <v>77600</v>
      </c>
      <c r="G21" s="322">
        <f t="shared" si="9"/>
        <v>89120</v>
      </c>
      <c r="H21" s="322">
        <f t="shared" si="9"/>
        <v>107944</v>
      </c>
      <c r="I21" s="322">
        <f t="shared" si="9"/>
        <v>124532.8</v>
      </c>
      <c r="J21" s="322">
        <f t="shared" si="9"/>
        <v>144439.36</v>
      </c>
      <c r="K21" s="322">
        <f t="shared" si="9"/>
        <v>168327.232</v>
      </c>
      <c r="L21" s="322">
        <f t="shared" si="9"/>
        <v>196992.67839999998</v>
      </c>
      <c r="M21" s="322">
        <f t="shared" si="9"/>
        <v>231391.21407999998</v>
      </c>
      <c r="N21" s="322">
        <f t="shared" si="9"/>
        <v>354530.33548799995</v>
      </c>
      <c r="O21" s="322">
        <f t="shared" si="9"/>
        <v>379983.3690368</v>
      </c>
      <c r="P21" s="322">
        <f t="shared" si="9"/>
        <v>407981.70594048005</v>
      </c>
      <c r="Q21" s="322">
        <f t="shared" si="9"/>
        <v>438779.8765345281</v>
      </c>
      <c r="R21" s="322">
        <f t="shared" si="9"/>
        <v>472657.8641879809</v>
      </c>
      <c r="S21" s="322">
        <f t="shared" si="9"/>
        <v>509923.65060677903</v>
      </c>
      <c r="T21" s="322">
        <f t="shared" si="9"/>
        <v>550916.0156674569</v>
      </c>
      <c r="U21" s="322">
        <f t="shared" si="9"/>
        <v>596007.6172342027</v>
      </c>
      <c r="V21" s="322">
        <f t="shared" si="9"/>
        <v>645608.378957623</v>
      </c>
      <c r="W21" s="322">
        <f t="shared" si="9"/>
        <v>700169.2168533853</v>
      </c>
      <c r="X21" s="322">
        <f t="shared" si="9"/>
        <v>760186.1385387239</v>
      </c>
      <c r="Y21" s="322">
        <f t="shared" si="9"/>
        <v>826204.7523925963</v>
      </c>
      <c r="Z21" s="322">
        <f t="shared" si="9"/>
        <v>833466.7999165225</v>
      </c>
      <c r="AA21" s="322">
        <f t="shared" si="9"/>
        <v>840801.4679156877</v>
      </c>
      <c r="AB21" s="322">
        <f t="shared" si="9"/>
        <v>848209.4825948447</v>
      </c>
      <c r="AC21" s="322">
        <f t="shared" si="9"/>
        <v>855691.5774207931</v>
      </c>
      <c r="AD21" s="322">
        <f t="shared" si="9"/>
        <v>863248.493195001</v>
      </c>
      <c r="AE21" s="322">
        <f t="shared" si="9"/>
        <v>870880.978126951</v>
      </c>
      <c r="AF21" s="322">
        <f t="shared" si="9"/>
        <v>878589.7879082204</v>
      </c>
      <c r="AG21" s="322">
        <f t="shared" si="9"/>
        <v>886375.6857873028</v>
      </c>
      <c r="AH21" s="322">
        <f t="shared" si="9"/>
        <v>894239.4426451757</v>
      </c>
      <c r="AI21" s="322">
        <f t="shared" si="9"/>
        <v>902181.8370716275</v>
      </c>
      <c r="AJ21" s="322">
        <f t="shared" si="9"/>
        <v>910203.6554423438</v>
      </c>
      <c r="AK21" s="322">
        <f t="shared" si="9"/>
        <v>918305.6919967672</v>
      </c>
      <c r="AL21" s="313">
        <v>0</v>
      </c>
      <c r="AM21" s="315"/>
      <c r="AN21" s="316"/>
      <c r="AO21" s="317"/>
    </row>
    <row r="22" spans="1:41" s="236" customFormat="1" ht="15" customHeight="1">
      <c r="A22" s="376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2">
        <v>0</v>
      </c>
      <c r="AM22" s="373"/>
      <c r="AN22" s="374"/>
      <c r="AO22" s="375"/>
    </row>
    <row r="23" spans="1:41" s="236" customFormat="1" ht="15" customHeight="1">
      <c r="A23" s="364" t="s">
        <v>197</v>
      </c>
      <c r="B23" s="382">
        <v>1.9</v>
      </c>
      <c r="C23" s="382">
        <v>1.9</v>
      </c>
      <c r="D23" s="382">
        <v>1.9</v>
      </c>
      <c r="E23" s="382">
        <v>1.9</v>
      </c>
      <c r="F23" s="382">
        <v>1.9</v>
      </c>
      <c r="G23" s="382">
        <v>1.9</v>
      </c>
      <c r="H23" s="382">
        <v>1.9</v>
      </c>
      <c r="I23" s="382">
        <v>1.9</v>
      </c>
      <c r="J23" s="382">
        <v>1.9</v>
      </c>
      <c r="K23" s="382">
        <v>1.9</v>
      </c>
      <c r="L23" s="382">
        <v>1.9</v>
      </c>
      <c r="M23" s="382">
        <v>1.9</v>
      </c>
      <c r="N23" s="382">
        <v>1.9</v>
      </c>
      <c r="O23" s="382">
        <v>1.9</v>
      </c>
      <c r="P23" s="382">
        <v>1.9</v>
      </c>
      <c r="Q23" s="382">
        <v>1.9</v>
      </c>
      <c r="R23" s="382">
        <v>1.9</v>
      </c>
      <c r="S23" s="382">
        <v>1.9</v>
      </c>
      <c r="T23" s="382">
        <v>1.9</v>
      </c>
      <c r="U23" s="382">
        <v>1.9</v>
      </c>
      <c r="V23" s="382">
        <v>1.9</v>
      </c>
      <c r="W23" s="382">
        <v>1.9</v>
      </c>
      <c r="X23" s="382">
        <v>1.9</v>
      </c>
      <c r="Y23" s="382">
        <v>1.9</v>
      </c>
      <c r="Z23" s="382">
        <v>1.9</v>
      </c>
      <c r="AA23" s="382">
        <v>1.9</v>
      </c>
      <c r="AB23" s="382">
        <v>1.9</v>
      </c>
      <c r="AC23" s="382">
        <v>1.9</v>
      </c>
      <c r="AD23" s="382">
        <v>1.9</v>
      </c>
      <c r="AE23" s="382">
        <v>1.9</v>
      </c>
      <c r="AF23" s="382">
        <v>1.9</v>
      </c>
      <c r="AG23" s="382">
        <v>1.9</v>
      </c>
      <c r="AH23" s="382">
        <v>1.9</v>
      </c>
      <c r="AI23" s="382">
        <v>1.9</v>
      </c>
      <c r="AJ23" s="382">
        <v>1.9</v>
      </c>
      <c r="AK23" s="382">
        <v>1.9</v>
      </c>
      <c r="AL23" s="372">
        <v>0</v>
      </c>
      <c r="AM23" s="373"/>
      <c r="AN23" s="374"/>
      <c r="AO23" s="375"/>
    </row>
    <row r="24" spans="1:41" s="236" customFormat="1" ht="15" customHeight="1">
      <c r="A24" s="364" t="s">
        <v>198</v>
      </c>
      <c r="B24" s="371">
        <v>13000</v>
      </c>
      <c r="C24" s="371">
        <v>15500</v>
      </c>
      <c r="D24" s="371">
        <v>23000</v>
      </c>
      <c r="E24" s="371">
        <v>26000</v>
      </c>
      <c r="F24" s="371">
        <v>29600</v>
      </c>
      <c r="G24" s="371">
        <v>33920</v>
      </c>
      <c r="H24" s="371">
        <v>41104</v>
      </c>
      <c r="I24" s="371">
        <v>47324.8</v>
      </c>
      <c r="J24" s="371">
        <v>54789.759999999995</v>
      </c>
      <c r="K24" s="371">
        <v>63747.71199999999</v>
      </c>
      <c r="L24" s="371">
        <v>74497.25439999999</v>
      </c>
      <c r="M24" s="371">
        <v>87396.70528</v>
      </c>
      <c r="N24" s="371">
        <v>96136.375808</v>
      </c>
      <c r="O24" s="371">
        <v>105750.0133888</v>
      </c>
      <c r="P24" s="371">
        <v>116325.01472768001</v>
      </c>
      <c r="Q24" s="371">
        <v>127957.51620044802</v>
      </c>
      <c r="R24" s="371">
        <v>140753.26782049282</v>
      </c>
      <c r="S24" s="371">
        <v>154828.59460254214</v>
      </c>
      <c r="T24" s="371">
        <v>170311.45406279634</v>
      </c>
      <c r="U24" s="371">
        <v>187342.599469076</v>
      </c>
      <c r="V24" s="371">
        <v>206076.85941598364</v>
      </c>
      <c r="W24" s="371">
        <v>226684.545357582</v>
      </c>
      <c r="X24" s="371">
        <v>249352.99989334022</v>
      </c>
      <c r="Y24" s="371">
        <v>274288.2998826743</v>
      </c>
      <c r="Z24" s="371">
        <v>277031.18288150104</v>
      </c>
      <c r="AA24" s="371">
        <v>279801.49471031607</v>
      </c>
      <c r="AB24" s="371">
        <v>282599.5096574192</v>
      </c>
      <c r="AC24" s="371">
        <v>285425.5047539935</v>
      </c>
      <c r="AD24" s="371">
        <v>288279.75980153336</v>
      </c>
      <c r="AE24" s="371">
        <v>291162.5573995487</v>
      </c>
      <c r="AF24" s="371">
        <v>294074.1829735442</v>
      </c>
      <c r="AG24" s="371">
        <v>297014.92480327963</v>
      </c>
      <c r="AH24" s="371">
        <v>299985.0740513124</v>
      </c>
      <c r="AI24" s="371">
        <v>302984.9247918255</v>
      </c>
      <c r="AJ24" s="371">
        <v>306014.7740397438</v>
      </c>
      <c r="AK24" s="371">
        <v>309074.9217801412</v>
      </c>
      <c r="AL24" s="372">
        <v>0</v>
      </c>
      <c r="AM24" s="373"/>
      <c r="AN24" s="374"/>
      <c r="AO24" s="375"/>
    </row>
    <row r="25" spans="1:41" s="236" customFormat="1" ht="15" customHeight="1">
      <c r="A25" s="376" t="s">
        <v>199</v>
      </c>
      <c r="B25" s="383">
        <f>B24*B23</f>
        <v>24700</v>
      </c>
      <c r="C25" s="383">
        <f aca="true" t="shared" si="10" ref="C25:AK25">C24*C23</f>
        <v>29450</v>
      </c>
      <c r="D25" s="383">
        <f t="shared" si="10"/>
        <v>43700</v>
      </c>
      <c r="E25" s="383">
        <f t="shared" si="10"/>
        <v>49400</v>
      </c>
      <c r="F25" s="383">
        <f t="shared" si="10"/>
        <v>56240</v>
      </c>
      <c r="G25" s="383">
        <f t="shared" si="10"/>
        <v>64448</v>
      </c>
      <c r="H25" s="383">
        <f t="shared" si="10"/>
        <v>78097.59999999999</v>
      </c>
      <c r="I25" s="383">
        <f t="shared" si="10"/>
        <v>89917.12</v>
      </c>
      <c r="J25" s="383">
        <f t="shared" si="10"/>
        <v>104100.54399999998</v>
      </c>
      <c r="K25" s="383">
        <f t="shared" si="10"/>
        <v>121120.65279999998</v>
      </c>
      <c r="L25" s="383">
        <f t="shared" si="10"/>
        <v>141544.78335999997</v>
      </c>
      <c r="M25" s="383">
        <f t="shared" si="10"/>
        <v>166053.74003199997</v>
      </c>
      <c r="N25" s="383">
        <f t="shared" si="10"/>
        <v>182659.11403519998</v>
      </c>
      <c r="O25" s="383">
        <f t="shared" si="10"/>
        <v>200925.02543871998</v>
      </c>
      <c r="P25" s="383">
        <f t="shared" si="10"/>
        <v>221017.527982592</v>
      </c>
      <c r="Q25" s="383">
        <f t="shared" si="10"/>
        <v>243119.28078085123</v>
      </c>
      <c r="R25" s="383">
        <f t="shared" si="10"/>
        <v>267431.2088589363</v>
      </c>
      <c r="S25" s="383">
        <f t="shared" si="10"/>
        <v>294174.3297448301</v>
      </c>
      <c r="T25" s="383">
        <f t="shared" si="10"/>
        <v>323591.76271931303</v>
      </c>
      <c r="U25" s="383">
        <f t="shared" si="10"/>
        <v>355950.93899124436</v>
      </c>
      <c r="V25" s="383">
        <f t="shared" si="10"/>
        <v>391546.0328903689</v>
      </c>
      <c r="W25" s="383">
        <f t="shared" si="10"/>
        <v>430700.6361794058</v>
      </c>
      <c r="X25" s="383">
        <f t="shared" si="10"/>
        <v>473770.69979734643</v>
      </c>
      <c r="Y25" s="383">
        <f t="shared" si="10"/>
        <v>521147.76977708115</v>
      </c>
      <c r="Z25" s="383">
        <f t="shared" si="10"/>
        <v>526359.2474748519</v>
      </c>
      <c r="AA25" s="383">
        <f t="shared" si="10"/>
        <v>531622.8399496005</v>
      </c>
      <c r="AB25" s="383">
        <f t="shared" si="10"/>
        <v>536939.0683490965</v>
      </c>
      <c r="AC25" s="383">
        <f t="shared" si="10"/>
        <v>542308.4590325876</v>
      </c>
      <c r="AD25" s="383">
        <f t="shared" si="10"/>
        <v>547731.5436229134</v>
      </c>
      <c r="AE25" s="383">
        <f t="shared" si="10"/>
        <v>553208.8590591425</v>
      </c>
      <c r="AF25" s="383">
        <f t="shared" si="10"/>
        <v>558740.9476497339</v>
      </c>
      <c r="AG25" s="383">
        <f t="shared" si="10"/>
        <v>564328.3571262313</v>
      </c>
      <c r="AH25" s="383">
        <f t="shared" si="10"/>
        <v>569971.6406974936</v>
      </c>
      <c r="AI25" s="383">
        <f t="shared" si="10"/>
        <v>575671.3571044685</v>
      </c>
      <c r="AJ25" s="383">
        <f t="shared" si="10"/>
        <v>581428.0706755132</v>
      </c>
      <c r="AK25" s="383">
        <f t="shared" si="10"/>
        <v>587242.3513822682</v>
      </c>
      <c r="AL25" s="372">
        <v>0</v>
      </c>
      <c r="AM25" s="373">
        <f>SUM(B25:M25)</f>
        <v>968772.440192</v>
      </c>
      <c r="AN25" s="374">
        <f>SUM(N25:Y25)</f>
        <v>3906034.327195889</v>
      </c>
      <c r="AO25" s="375">
        <f>SUM(Z25:AK25)</f>
        <v>6675552.7421239</v>
      </c>
    </row>
    <row r="26" spans="1:41" s="236" customFormat="1" ht="15" customHeight="1">
      <c r="A26" s="364" t="s">
        <v>200</v>
      </c>
      <c r="B26" s="384">
        <v>1000</v>
      </c>
      <c r="C26" s="384">
        <v>1000</v>
      </c>
      <c r="D26" s="384">
        <v>1000</v>
      </c>
      <c r="E26" s="384">
        <v>1000</v>
      </c>
      <c r="F26" s="384">
        <v>1000</v>
      </c>
      <c r="G26" s="384">
        <v>1000</v>
      </c>
      <c r="H26" s="384">
        <v>2000</v>
      </c>
      <c r="I26" s="384">
        <v>2000</v>
      </c>
      <c r="J26" s="384">
        <v>2000</v>
      </c>
      <c r="K26" s="384">
        <v>2000</v>
      </c>
      <c r="L26" s="384">
        <v>2000</v>
      </c>
      <c r="M26" s="384">
        <v>2000</v>
      </c>
      <c r="N26" s="384">
        <v>3000</v>
      </c>
      <c r="O26" s="384">
        <v>3000</v>
      </c>
      <c r="P26" s="384">
        <v>3000</v>
      </c>
      <c r="Q26" s="384">
        <v>3000</v>
      </c>
      <c r="R26" s="384">
        <v>3000</v>
      </c>
      <c r="S26" s="384">
        <v>3000</v>
      </c>
      <c r="T26" s="384">
        <v>4000</v>
      </c>
      <c r="U26" s="384">
        <v>4000</v>
      </c>
      <c r="V26" s="384">
        <v>4000</v>
      </c>
      <c r="W26" s="384">
        <v>4000</v>
      </c>
      <c r="X26" s="384">
        <v>4000</v>
      </c>
      <c r="Y26" s="384">
        <v>4000</v>
      </c>
      <c r="Z26" s="384">
        <v>5000</v>
      </c>
      <c r="AA26" s="384">
        <v>5000</v>
      </c>
      <c r="AB26" s="384">
        <v>5000</v>
      </c>
      <c r="AC26" s="384">
        <v>5000</v>
      </c>
      <c r="AD26" s="384">
        <v>5000</v>
      </c>
      <c r="AE26" s="384">
        <v>5000</v>
      </c>
      <c r="AF26" s="384">
        <v>6000</v>
      </c>
      <c r="AG26" s="384">
        <v>6000</v>
      </c>
      <c r="AH26" s="384">
        <v>6000</v>
      </c>
      <c r="AI26" s="384">
        <v>6000</v>
      </c>
      <c r="AJ26" s="384">
        <v>6000</v>
      </c>
      <c r="AK26" s="384">
        <v>6000</v>
      </c>
      <c r="AL26" s="384">
        <v>7000</v>
      </c>
      <c r="AM26" s="373">
        <f>SUM(B26:M26)</f>
        <v>18000</v>
      </c>
      <c r="AN26" s="374">
        <f>SUM(N26:Y26)</f>
        <v>42000</v>
      </c>
      <c r="AO26" s="375">
        <f>SUM(Z26:AK26)</f>
        <v>66000</v>
      </c>
    </row>
    <row r="27" spans="1:41" s="236" customFormat="1" ht="15" customHeight="1">
      <c r="A27" s="376" t="s">
        <v>201</v>
      </c>
      <c r="B27" s="371">
        <v>75.52</v>
      </c>
      <c r="C27" s="371">
        <v>76.14</v>
      </c>
      <c r="D27" s="371">
        <v>77.06</v>
      </c>
      <c r="E27" s="371">
        <v>78.1</v>
      </c>
      <c r="F27" s="371">
        <v>79.284</v>
      </c>
      <c r="G27" s="371">
        <v>80.6408</v>
      </c>
      <c r="H27" s="371">
        <v>82.28496</v>
      </c>
      <c r="I27" s="371">
        <v>84.177952</v>
      </c>
      <c r="J27" s="371">
        <v>86.3695424</v>
      </c>
      <c r="K27" s="371">
        <v>88.91945088</v>
      </c>
      <c r="L27" s="371">
        <v>91.899341056</v>
      </c>
      <c r="M27" s="371">
        <v>95.3952092672</v>
      </c>
      <c r="N27" s="371">
        <v>99.24066429952</v>
      </c>
      <c r="O27" s="371">
        <v>103.470664835072</v>
      </c>
      <c r="P27" s="371">
        <v>108.1236654241792</v>
      </c>
      <c r="Q27" s="371">
        <v>113.24196607219712</v>
      </c>
      <c r="R27" s="371">
        <v>118.87209678501684</v>
      </c>
      <c r="S27" s="371">
        <v>125.06524056911852</v>
      </c>
      <c r="T27" s="371">
        <v>131.87769873163037</v>
      </c>
      <c r="U27" s="371">
        <v>139.3714027103934</v>
      </c>
      <c r="V27" s="371">
        <v>147.61447708703275</v>
      </c>
      <c r="W27" s="371">
        <v>156.68185890133603</v>
      </c>
      <c r="X27" s="371">
        <v>166.65597889706964</v>
      </c>
      <c r="Y27" s="371">
        <v>177.6275108923766</v>
      </c>
      <c r="Z27" s="371">
        <v>188.70875820763663</v>
      </c>
      <c r="AA27" s="371">
        <v>199.90081799604928</v>
      </c>
      <c r="AB27" s="371">
        <v>211.20479838234604</v>
      </c>
      <c r="AC27" s="371">
        <v>222.6218185725058</v>
      </c>
      <c r="AD27" s="371">
        <v>234.15300896456714</v>
      </c>
      <c r="AE27" s="371">
        <v>245.7995112605491</v>
      </c>
      <c r="AF27" s="371">
        <v>257.56247857949086</v>
      </c>
      <c r="AG27" s="371">
        <v>269.443075571622</v>
      </c>
      <c r="AH27" s="371">
        <v>281.4424785336745</v>
      </c>
      <c r="AI27" s="371">
        <v>293.56187552534755</v>
      </c>
      <c r="AJ27" s="371">
        <v>305.8024664869373</v>
      </c>
      <c r="AK27" s="371">
        <v>318.1654633581429</v>
      </c>
      <c r="AL27" s="372">
        <v>318.1654633581429</v>
      </c>
      <c r="AM27" s="373">
        <f>SUM(B27:M27)</f>
        <v>995.7912556032</v>
      </c>
      <c r="AN27" s="374">
        <f>SUM(N27:Y27)</f>
        <v>1587.8432252049427</v>
      </c>
      <c r="AO27" s="375">
        <f>SUM(Z27:AK27)</f>
        <v>3028.3665514388695</v>
      </c>
    </row>
    <row r="28" spans="1:41" s="236" customFormat="1" ht="15" customHeight="1">
      <c r="A28" s="376" t="s">
        <v>202</v>
      </c>
      <c r="B28" s="371">
        <v>1000</v>
      </c>
      <c r="C28" s="371">
        <v>1000</v>
      </c>
      <c r="D28" s="371">
        <v>1000</v>
      </c>
      <c r="E28" s="371">
        <v>1000</v>
      </c>
      <c r="F28" s="371">
        <v>1000</v>
      </c>
      <c r="G28" s="371">
        <v>1000</v>
      </c>
      <c r="H28" s="371">
        <v>1000</v>
      </c>
      <c r="I28" s="371">
        <v>1000</v>
      </c>
      <c r="J28" s="371">
        <v>1000</v>
      </c>
      <c r="K28" s="371">
        <v>1000</v>
      </c>
      <c r="L28" s="371">
        <v>1000</v>
      </c>
      <c r="M28" s="371">
        <v>1000</v>
      </c>
      <c r="N28" s="371">
        <v>1000</v>
      </c>
      <c r="O28" s="371">
        <v>1000</v>
      </c>
      <c r="P28" s="371">
        <v>1000</v>
      </c>
      <c r="Q28" s="371">
        <v>1000</v>
      </c>
      <c r="R28" s="371">
        <v>1000</v>
      </c>
      <c r="S28" s="371">
        <v>1000</v>
      </c>
      <c r="T28" s="371">
        <v>1000</v>
      </c>
      <c r="U28" s="371">
        <v>1000</v>
      </c>
      <c r="V28" s="371">
        <v>1000</v>
      </c>
      <c r="W28" s="371">
        <v>1000</v>
      </c>
      <c r="X28" s="371">
        <v>1000</v>
      </c>
      <c r="Y28" s="371">
        <v>1000</v>
      </c>
      <c r="Z28" s="371">
        <v>1000</v>
      </c>
      <c r="AA28" s="371">
        <v>1000</v>
      </c>
      <c r="AB28" s="371">
        <v>1000</v>
      </c>
      <c r="AC28" s="371">
        <v>1000</v>
      </c>
      <c r="AD28" s="371">
        <v>1000</v>
      </c>
      <c r="AE28" s="371">
        <v>1000</v>
      </c>
      <c r="AF28" s="371">
        <v>1000</v>
      </c>
      <c r="AG28" s="371">
        <v>1000</v>
      </c>
      <c r="AH28" s="371">
        <v>1000</v>
      </c>
      <c r="AI28" s="371">
        <v>1000</v>
      </c>
      <c r="AJ28" s="371">
        <v>1000</v>
      </c>
      <c r="AK28" s="371">
        <v>1000</v>
      </c>
      <c r="AL28" s="372">
        <v>1000</v>
      </c>
      <c r="AM28" s="373">
        <f>SUM(B28:M28)</f>
        <v>12000</v>
      </c>
      <c r="AN28" s="374">
        <f>SUM(N28:Y28)</f>
        <v>12000</v>
      </c>
      <c r="AO28" s="375">
        <f>SUM(Z28:AK28)</f>
        <v>12000</v>
      </c>
    </row>
    <row r="29" spans="1:41" s="236" customFormat="1" ht="15" customHeight="1">
      <c r="A29" s="376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2">
        <v>0</v>
      </c>
      <c r="AM29" s="373"/>
      <c r="AN29" s="374"/>
      <c r="AO29" s="375"/>
    </row>
    <row r="30" spans="1:41" s="236" customFormat="1" ht="15" customHeight="1">
      <c r="A30" s="376" t="s">
        <v>203</v>
      </c>
      <c r="B30" s="371">
        <f>SUM(B25:B28)</f>
        <v>26775.52</v>
      </c>
      <c r="C30" s="371">
        <f aca="true" t="shared" si="11" ref="C30:AO30">SUM(C25:C28)</f>
        <v>31526.14</v>
      </c>
      <c r="D30" s="371">
        <f t="shared" si="11"/>
        <v>45777.06</v>
      </c>
      <c r="E30" s="371">
        <f t="shared" si="11"/>
        <v>51478.1</v>
      </c>
      <c r="F30" s="371">
        <f t="shared" si="11"/>
        <v>58319.284</v>
      </c>
      <c r="G30" s="371">
        <f t="shared" si="11"/>
        <v>66528.6408</v>
      </c>
      <c r="H30" s="371">
        <f t="shared" si="11"/>
        <v>81179.88496</v>
      </c>
      <c r="I30" s="371">
        <f t="shared" si="11"/>
        <v>93001.297952</v>
      </c>
      <c r="J30" s="371">
        <f t="shared" si="11"/>
        <v>107186.91354239998</v>
      </c>
      <c r="K30" s="371">
        <f t="shared" si="11"/>
        <v>124209.57225087998</v>
      </c>
      <c r="L30" s="371">
        <f t="shared" si="11"/>
        <v>144636.68270105598</v>
      </c>
      <c r="M30" s="371">
        <f t="shared" si="11"/>
        <v>169149.13524126718</v>
      </c>
      <c r="N30" s="371">
        <f t="shared" si="11"/>
        <v>186758.3546994995</v>
      </c>
      <c r="O30" s="371">
        <f t="shared" si="11"/>
        <v>205028.49610355505</v>
      </c>
      <c r="P30" s="371">
        <f t="shared" si="11"/>
        <v>225125.65164801618</v>
      </c>
      <c r="Q30" s="371">
        <f t="shared" si="11"/>
        <v>247232.52274692344</v>
      </c>
      <c r="R30" s="371">
        <f t="shared" si="11"/>
        <v>271550.0809557213</v>
      </c>
      <c r="S30" s="371">
        <f t="shared" si="11"/>
        <v>298299.3949853992</v>
      </c>
      <c r="T30" s="371">
        <f t="shared" si="11"/>
        <v>328723.64041804464</v>
      </c>
      <c r="U30" s="371">
        <f t="shared" si="11"/>
        <v>361090.31039395474</v>
      </c>
      <c r="V30" s="371">
        <f t="shared" si="11"/>
        <v>396693.64736745594</v>
      </c>
      <c r="W30" s="371">
        <f t="shared" si="11"/>
        <v>435857.31803830713</v>
      </c>
      <c r="X30" s="371">
        <f t="shared" si="11"/>
        <v>478937.3557762435</v>
      </c>
      <c r="Y30" s="371">
        <f t="shared" si="11"/>
        <v>526325.3972879736</v>
      </c>
      <c r="Z30" s="371">
        <f t="shared" si="11"/>
        <v>532547.9562330595</v>
      </c>
      <c r="AA30" s="371">
        <f t="shared" si="11"/>
        <v>537822.7407675965</v>
      </c>
      <c r="AB30" s="371">
        <f t="shared" si="11"/>
        <v>543150.2731474788</v>
      </c>
      <c r="AC30" s="371">
        <f t="shared" si="11"/>
        <v>548531.0808511601</v>
      </c>
      <c r="AD30" s="371">
        <f t="shared" si="11"/>
        <v>553965.696631878</v>
      </c>
      <c r="AE30" s="371">
        <f t="shared" si="11"/>
        <v>559454.6585704031</v>
      </c>
      <c r="AF30" s="371">
        <f t="shared" si="11"/>
        <v>565998.5101283133</v>
      </c>
      <c r="AG30" s="371">
        <f t="shared" si="11"/>
        <v>571597.800201803</v>
      </c>
      <c r="AH30" s="371">
        <f t="shared" si="11"/>
        <v>577253.0831760273</v>
      </c>
      <c r="AI30" s="371">
        <f t="shared" si="11"/>
        <v>582964.9189799939</v>
      </c>
      <c r="AJ30" s="371">
        <f t="shared" si="11"/>
        <v>588733.8731420002</v>
      </c>
      <c r="AK30" s="371">
        <f t="shared" si="11"/>
        <v>594560.5168456264</v>
      </c>
      <c r="AL30" s="372">
        <v>0</v>
      </c>
      <c r="AM30" s="371">
        <f t="shared" si="11"/>
        <v>999768.2314476032</v>
      </c>
      <c r="AN30" s="371">
        <f t="shared" si="11"/>
        <v>3961622.1704210937</v>
      </c>
      <c r="AO30" s="371">
        <f t="shared" si="11"/>
        <v>6756581.108675339</v>
      </c>
    </row>
    <row r="31" spans="1:41" s="236" customFormat="1" ht="15" customHeight="1">
      <c r="A31" s="376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2">
        <v>0</v>
      </c>
      <c r="AM31" s="373"/>
      <c r="AN31" s="374"/>
      <c r="AO31" s="375"/>
    </row>
    <row r="32" spans="1:41" ht="15" customHeight="1">
      <c r="A32" s="133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13">
        <v>0</v>
      </c>
      <c r="AM32" s="315"/>
      <c r="AN32" s="316"/>
      <c r="AO32" s="317"/>
    </row>
    <row r="33" spans="1:41" ht="16.5" customHeight="1">
      <c r="A33" s="8"/>
      <c r="B33" s="344">
        <v>1</v>
      </c>
      <c r="C33" s="344">
        <v>2</v>
      </c>
      <c r="D33" s="344">
        <v>3</v>
      </c>
      <c r="E33" s="344">
        <v>4</v>
      </c>
      <c r="F33" s="344">
        <v>5</v>
      </c>
      <c r="G33" s="344">
        <v>6</v>
      </c>
      <c r="H33" s="344">
        <v>7</v>
      </c>
      <c r="I33" s="344">
        <v>8</v>
      </c>
      <c r="J33" s="344">
        <v>9</v>
      </c>
      <c r="K33" s="344">
        <v>10</v>
      </c>
      <c r="L33" s="344">
        <v>11</v>
      </c>
      <c r="M33" s="344">
        <v>12</v>
      </c>
      <c r="N33" s="344">
        <v>13</v>
      </c>
      <c r="O33" s="344">
        <v>14</v>
      </c>
      <c r="P33" s="344">
        <v>15</v>
      </c>
      <c r="Q33" s="344">
        <v>16</v>
      </c>
      <c r="R33" s="344">
        <v>17</v>
      </c>
      <c r="S33" s="344">
        <v>18</v>
      </c>
      <c r="T33" s="344">
        <v>19</v>
      </c>
      <c r="U33" s="344">
        <v>20</v>
      </c>
      <c r="V33" s="344">
        <v>21</v>
      </c>
      <c r="W33" s="344">
        <v>22</v>
      </c>
      <c r="X33" s="344">
        <v>23</v>
      </c>
      <c r="Y33" s="344">
        <v>24</v>
      </c>
      <c r="Z33" s="344">
        <v>25</v>
      </c>
      <c r="AA33" s="344">
        <v>26</v>
      </c>
      <c r="AB33" s="344">
        <v>27</v>
      </c>
      <c r="AC33" s="344">
        <v>28</v>
      </c>
      <c r="AD33" s="344">
        <v>29</v>
      </c>
      <c r="AE33" s="344">
        <v>30</v>
      </c>
      <c r="AF33" s="344">
        <v>31</v>
      </c>
      <c r="AG33" s="344">
        <v>32</v>
      </c>
      <c r="AH33" s="344">
        <v>33</v>
      </c>
      <c r="AI33" s="344">
        <v>34</v>
      </c>
      <c r="AJ33" s="344">
        <v>35</v>
      </c>
      <c r="AK33" s="344">
        <v>36</v>
      </c>
      <c r="AL33" s="313">
        <v>0</v>
      </c>
      <c r="AM33" s="315"/>
      <c r="AN33" s="316"/>
      <c r="AO33" s="317"/>
    </row>
    <row r="34" spans="1:41" ht="15" customHeight="1">
      <c r="A34" s="134" t="s">
        <v>206</v>
      </c>
      <c r="B34" s="323">
        <f>B21-B30</f>
        <v>6557.813333333335</v>
      </c>
      <c r="C34" s="323">
        <f aca="true" t="shared" si="12" ref="C34:AL34">C21-C30</f>
        <v>8473.86</v>
      </c>
      <c r="D34" s="323">
        <f t="shared" si="12"/>
        <v>14222.940000000002</v>
      </c>
      <c r="E34" s="323">
        <f t="shared" si="12"/>
        <v>16521.9</v>
      </c>
      <c r="F34" s="323">
        <f t="shared" si="12"/>
        <v>19280.716</v>
      </c>
      <c r="G34" s="323">
        <f t="shared" si="12"/>
        <v>22591.359200000006</v>
      </c>
      <c r="H34" s="323">
        <f t="shared" si="12"/>
        <v>26764.115040000004</v>
      </c>
      <c r="I34" s="323">
        <f t="shared" si="12"/>
        <v>31531.50204800001</v>
      </c>
      <c r="J34" s="323">
        <f t="shared" si="12"/>
        <v>37252.4464576</v>
      </c>
      <c r="K34" s="323">
        <f t="shared" si="12"/>
        <v>44117.65974912001</v>
      </c>
      <c r="L34" s="323">
        <f t="shared" si="12"/>
        <v>52355.995698943996</v>
      </c>
      <c r="M34" s="323">
        <f t="shared" si="12"/>
        <v>62242.07883873279</v>
      </c>
      <c r="N34" s="323">
        <f t="shared" si="12"/>
        <v>167771.98078850046</v>
      </c>
      <c r="O34" s="323">
        <f t="shared" si="12"/>
        <v>174954.87293324494</v>
      </c>
      <c r="P34" s="323">
        <f t="shared" si="12"/>
        <v>182856.05429246387</v>
      </c>
      <c r="Q34" s="323">
        <f t="shared" si="12"/>
        <v>191547.35378760466</v>
      </c>
      <c r="R34" s="323">
        <f t="shared" si="12"/>
        <v>201107.78323225956</v>
      </c>
      <c r="S34" s="323">
        <f t="shared" si="12"/>
        <v>211624.25562137982</v>
      </c>
      <c r="T34" s="323">
        <f t="shared" si="12"/>
        <v>222192.37524941226</v>
      </c>
      <c r="U34" s="323">
        <f t="shared" si="12"/>
        <v>234917.30684024794</v>
      </c>
      <c r="V34" s="323">
        <f t="shared" si="12"/>
        <v>248914.7315901671</v>
      </c>
      <c r="W34" s="323">
        <f t="shared" si="12"/>
        <v>264311.8988150782</v>
      </c>
      <c r="X34" s="323">
        <f t="shared" si="12"/>
        <v>281248.78276248043</v>
      </c>
      <c r="Y34" s="323">
        <f t="shared" si="12"/>
        <v>299879.3551046228</v>
      </c>
      <c r="Z34" s="323">
        <f t="shared" si="12"/>
        <v>300918.84368346294</v>
      </c>
      <c r="AA34" s="323">
        <f t="shared" si="12"/>
        <v>302978.7271480912</v>
      </c>
      <c r="AB34" s="323">
        <f t="shared" si="12"/>
        <v>305059.20944736584</v>
      </c>
      <c r="AC34" s="323">
        <f t="shared" si="12"/>
        <v>307160.496569633</v>
      </c>
      <c r="AD34" s="323">
        <f t="shared" si="12"/>
        <v>309282.796563123</v>
      </c>
      <c r="AE34" s="323">
        <f t="shared" si="12"/>
        <v>311426.3195565479</v>
      </c>
      <c r="AF34" s="323">
        <f t="shared" si="12"/>
        <v>312591.2777799071</v>
      </c>
      <c r="AG34" s="323">
        <f t="shared" si="12"/>
        <v>314777.8855854998</v>
      </c>
      <c r="AH34" s="323">
        <f t="shared" si="12"/>
        <v>316986.35946914845</v>
      </c>
      <c r="AI34" s="323">
        <f t="shared" si="12"/>
        <v>319216.9180916336</v>
      </c>
      <c r="AJ34" s="323">
        <f t="shared" si="12"/>
        <v>321469.7823003436</v>
      </c>
      <c r="AK34" s="323">
        <f t="shared" si="12"/>
        <v>323745.1751511408</v>
      </c>
      <c r="AL34" s="323">
        <f t="shared" si="12"/>
        <v>0</v>
      </c>
      <c r="AM34" s="373">
        <f>SUM(B34:M34)</f>
        <v>341912.3863657302</v>
      </c>
      <c r="AN34" s="374">
        <f>SUM(N34:Y34)</f>
        <v>2681326.7510174625</v>
      </c>
      <c r="AO34" s="375">
        <f>SUM(Z34:AK34)</f>
        <v>3745613.7913458976</v>
      </c>
    </row>
    <row r="35" spans="1:41" ht="15" customHeight="1">
      <c r="A35" s="134" t="s">
        <v>120</v>
      </c>
      <c r="B35" s="324">
        <v>0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324">
        <v>0</v>
      </c>
      <c r="V35" s="324">
        <v>0</v>
      </c>
      <c r="W35" s="324">
        <v>0</v>
      </c>
      <c r="X35" s="324">
        <v>0</v>
      </c>
      <c r="Y35" s="324">
        <v>0</v>
      </c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13">
        <v>0</v>
      </c>
      <c r="AM35" s="315"/>
      <c r="AN35" s="316"/>
      <c r="AO35" s="317"/>
    </row>
    <row r="36" spans="1:41" ht="15" customHeight="1">
      <c r="A36" s="8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3">
        <v>0</v>
      </c>
      <c r="AM36" s="315"/>
      <c r="AN36" s="316"/>
      <c r="AO36" s="317"/>
    </row>
    <row r="37" ht="15" customHeight="1">
      <c r="AL37" s="313">
        <v>0</v>
      </c>
    </row>
    <row r="38" ht="15" customHeight="1">
      <c r="AL38" s="313">
        <v>0</v>
      </c>
    </row>
    <row r="40" ht="15" customHeight="1">
      <c r="AL40" s="313">
        <v>0</v>
      </c>
    </row>
  </sheetData>
  <sheetProtection/>
  <printOptions/>
  <pageMargins left="0.75" right="0.75" top="1" bottom="1" header="0.3" footer="0.3"/>
  <pageSetup horizontalDpi="600" verticalDpi="600" orientation="landscape" scale="61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18.140625" style="0" bestFit="1" customWidth="1"/>
    <col min="2" max="2" width="20.421875" style="0" bestFit="1" customWidth="1"/>
    <col min="3" max="3" width="16.57421875" style="0" customWidth="1"/>
    <col min="4" max="4" width="15.140625" style="0" customWidth="1"/>
    <col min="5" max="5" width="17.421875" style="0" customWidth="1"/>
    <col min="6" max="6" width="19.57421875" style="0" bestFit="1" customWidth="1"/>
    <col min="9" max="9" width="15.57421875" style="0" customWidth="1"/>
    <col min="11" max="11" width="20.421875" style="0" bestFit="1" customWidth="1"/>
  </cols>
  <sheetData>
    <row r="1" spans="1:6" ht="15">
      <c r="A1" s="182" t="s">
        <v>147</v>
      </c>
      <c r="B1" s="183"/>
      <c r="C1" s="183"/>
      <c r="D1" s="183"/>
      <c r="E1" s="183"/>
      <c r="F1" s="183"/>
    </row>
    <row r="2" spans="1:6" ht="15">
      <c r="A2" s="183" t="s">
        <v>148</v>
      </c>
      <c r="B2" s="183"/>
      <c r="C2" s="224">
        <f>'Assumptions &amp; Open Questions'!C37</f>
        <v>16500</v>
      </c>
      <c r="D2" s="183"/>
      <c r="E2" s="183"/>
      <c r="F2" s="183"/>
    </row>
    <row r="3" spans="1:11" ht="15">
      <c r="A3" s="183" t="s">
        <v>105</v>
      </c>
      <c r="B3" s="183"/>
      <c r="C3" s="223">
        <v>0.04</v>
      </c>
      <c r="D3" s="183"/>
      <c r="E3" s="183"/>
      <c r="F3" s="183"/>
      <c r="K3" s="185"/>
    </row>
    <row r="4" spans="1:11" ht="15">
      <c r="A4" s="183" t="s">
        <v>155</v>
      </c>
      <c r="B4" s="183"/>
      <c r="C4" s="223" t="s">
        <v>156</v>
      </c>
      <c r="D4" s="183"/>
      <c r="E4" s="183"/>
      <c r="F4" s="183"/>
      <c r="H4" s="471" t="s">
        <v>154</v>
      </c>
      <c r="I4" s="221" t="s">
        <v>158</v>
      </c>
      <c r="K4" s="185"/>
    </row>
    <row r="5" spans="1:11" ht="15.75">
      <c r="A5" s="184" t="s">
        <v>80</v>
      </c>
      <c r="B5" s="184" t="s">
        <v>149</v>
      </c>
      <c r="C5" s="184" t="s">
        <v>150</v>
      </c>
      <c r="D5" s="184" t="s">
        <v>151</v>
      </c>
      <c r="E5" s="184" t="s">
        <v>152</v>
      </c>
      <c r="F5" s="184" t="s">
        <v>153</v>
      </c>
      <c r="H5" s="471"/>
      <c r="I5" s="220" t="s">
        <v>157</v>
      </c>
      <c r="K5" s="186"/>
    </row>
    <row r="6" spans="1:11" ht="15">
      <c r="A6" s="225">
        <v>43405</v>
      </c>
      <c r="B6" s="188">
        <f>C2</f>
        <v>16500</v>
      </c>
      <c r="C6" s="188">
        <v>43424.92</v>
      </c>
      <c r="D6" s="188">
        <f>(B6*$C$3)/12</f>
        <v>55</v>
      </c>
      <c r="E6" s="188">
        <f>C6-D6</f>
        <v>43369.92</v>
      </c>
      <c r="F6" s="188">
        <f>B6-E6</f>
        <v>-26869.92</v>
      </c>
      <c r="K6" s="187"/>
    </row>
    <row r="7" spans="1:6" ht="15">
      <c r="A7" s="225">
        <v>43435</v>
      </c>
      <c r="B7" s="188">
        <f>F6</f>
        <v>-26869.92</v>
      </c>
      <c r="C7" s="188">
        <v>43424.92</v>
      </c>
      <c r="D7" s="188">
        <f aca="true" t="shared" si="0" ref="D7:D29">(B7*$C$3)/12</f>
        <v>-89.56639999999999</v>
      </c>
      <c r="E7" s="188">
        <f aca="true" t="shared" si="1" ref="E7:E16">C7-D7</f>
        <v>43514.4864</v>
      </c>
      <c r="F7" s="188">
        <f aca="true" t="shared" si="2" ref="F7:F15">B7-E7</f>
        <v>-70384.4064</v>
      </c>
    </row>
    <row r="8" spans="1:6" ht="15">
      <c r="A8" s="225">
        <v>43466</v>
      </c>
      <c r="B8" s="188">
        <f aca="true" t="shared" si="3" ref="B8:B16">F7</f>
        <v>-70384.4064</v>
      </c>
      <c r="C8" s="188">
        <v>43424.92</v>
      </c>
      <c r="D8" s="188">
        <f t="shared" si="0"/>
        <v>-234.61468800000003</v>
      </c>
      <c r="E8" s="188">
        <f t="shared" si="1"/>
        <v>43659.534688</v>
      </c>
      <c r="F8" s="188">
        <f t="shared" si="2"/>
        <v>-114043.941088</v>
      </c>
    </row>
    <row r="9" spans="1:6" ht="15">
      <c r="A9" s="225">
        <v>43497</v>
      </c>
      <c r="B9" s="188">
        <f t="shared" si="3"/>
        <v>-114043.941088</v>
      </c>
      <c r="C9" s="188">
        <v>43424.92</v>
      </c>
      <c r="D9" s="188">
        <f t="shared" si="0"/>
        <v>-380.1464702933334</v>
      </c>
      <c r="E9" s="188">
        <f t="shared" si="1"/>
        <v>43805.06647029333</v>
      </c>
      <c r="F9" s="188">
        <f t="shared" si="2"/>
        <v>-157849.00755829335</v>
      </c>
    </row>
    <row r="10" spans="1:6" ht="15">
      <c r="A10" s="225">
        <v>43525</v>
      </c>
      <c r="B10" s="188">
        <f t="shared" si="3"/>
        <v>-157849.00755829335</v>
      </c>
      <c r="C10" s="188">
        <v>43424.92</v>
      </c>
      <c r="D10" s="188">
        <f t="shared" si="0"/>
        <v>-526.1633585276445</v>
      </c>
      <c r="E10" s="188">
        <f t="shared" si="1"/>
        <v>43951.08335852764</v>
      </c>
      <c r="F10" s="188">
        <f t="shared" si="2"/>
        <v>-201800.09091682098</v>
      </c>
    </row>
    <row r="11" spans="1:6" ht="15">
      <c r="A11" s="225">
        <v>43556</v>
      </c>
      <c r="B11" s="188">
        <f t="shared" si="3"/>
        <v>-201800.09091682098</v>
      </c>
      <c r="C11" s="188">
        <v>43424.92</v>
      </c>
      <c r="D11" s="188">
        <f t="shared" si="0"/>
        <v>-672.6669697227366</v>
      </c>
      <c r="E11" s="188">
        <f t="shared" si="1"/>
        <v>44097.58696972273</v>
      </c>
      <c r="F11" s="188">
        <f t="shared" si="2"/>
        <v>-245897.6778865437</v>
      </c>
    </row>
    <row r="12" spans="1:6" ht="15">
      <c r="A12" s="225">
        <v>43586</v>
      </c>
      <c r="B12" s="188">
        <f t="shared" si="3"/>
        <v>-245897.6778865437</v>
      </c>
      <c r="C12" s="188">
        <v>43424.92</v>
      </c>
      <c r="D12" s="188">
        <f t="shared" si="0"/>
        <v>-819.658926288479</v>
      </c>
      <c r="E12" s="188">
        <f t="shared" si="1"/>
        <v>44244.57892628848</v>
      </c>
      <c r="F12" s="188">
        <f t="shared" si="2"/>
        <v>-290142.2568128322</v>
      </c>
    </row>
    <row r="13" spans="1:6" ht="15">
      <c r="A13" s="225">
        <v>43617</v>
      </c>
      <c r="B13" s="188">
        <f t="shared" si="3"/>
        <v>-290142.2568128322</v>
      </c>
      <c r="C13" s="188">
        <v>43424.92</v>
      </c>
      <c r="D13" s="188">
        <f t="shared" si="0"/>
        <v>-967.140856042774</v>
      </c>
      <c r="E13" s="188">
        <f t="shared" si="1"/>
        <v>44392.06085604277</v>
      </c>
      <c r="F13" s="188">
        <f t="shared" si="2"/>
        <v>-334534.317668875</v>
      </c>
    </row>
    <row r="14" spans="1:6" ht="15">
      <c r="A14" s="225">
        <v>43647</v>
      </c>
      <c r="B14" s="188">
        <f t="shared" si="3"/>
        <v>-334534.317668875</v>
      </c>
      <c r="C14" s="188">
        <v>43424.92</v>
      </c>
      <c r="D14" s="188">
        <f t="shared" si="0"/>
        <v>-1115.1143922295832</v>
      </c>
      <c r="E14" s="188">
        <f t="shared" si="1"/>
        <v>44540.03439222958</v>
      </c>
      <c r="F14" s="188">
        <f t="shared" si="2"/>
        <v>-379074.35206110455</v>
      </c>
    </row>
    <row r="15" spans="1:6" ht="15">
      <c r="A15" s="225">
        <v>43678</v>
      </c>
      <c r="B15" s="188">
        <f t="shared" si="3"/>
        <v>-379074.35206110455</v>
      </c>
      <c r="C15" s="188">
        <v>43424.92</v>
      </c>
      <c r="D15" s="188">
        <f t="shared" si="0"/>
        <v>-1263.5811735370153</v>
      </c>
      <c r="E15" s="188">
        <f t="shared" si="1"/>
        <v>44688.50117353701</v>
      </c>
      <c r="F15" s="188">
        <f t="shared" si="2"/>
        <v>-423762.85323464154</v>
      </c>
    </row>
    <row r="16" spans="1:6" ht="15">
      <c r="A16" s="225">
        <v>43709</v>
      </c>
      <c r="B16" s="188">
        <f t="shared" si="3"/>
        <v>-423762.85323464154</v>
      </c>
      <c r="C16" s="188">
        <v>43424.92</v>
      </c>
      <c r="D16" s="188">
        <f t="shared" si="0"/>
        <v>-1412.5428441154718</v>
      </c>
      <c r="E16" s="188">
        <f t="shared" si="1"/>
        <v>44837.46284411547</v>
      </c>
      <c r="F16" s="188">
        <f>B16-E16</f>
        <v>-468600.316078757</v>
      </c>
    </row>
    <row r="17" spans="1:6" ht="15">
      <c r="A17" s="225">
        <v>43739</v>
      </c>
      <c r="B17" s="188">
        <f aca="true" t="shared" si="4" ref="B17:B29">F16</f>
        <v>-468600.316078757</v>
      </c>
      <c r="C17" s="188">
        <v>43424.92</v>
      </c>
      <c r="D17" s="188">
        <f t="shared" si="0"/>
        <v>-1562.0010535958565</v>
      </c>
      <c r="E17" s="188">
        <f aca="true" t="shared" si="5" ref="E17:E29">C17-D17</f>
        <v>44986.921053595855</v>
      </c>
      <c r="F17" s="188">
        <f aca="true" t="shared" si="6" ref="F17:F29">B17-E17</f>
        <v>-513587.23713235284</v>
      </c>
    </row>
    <row r="18" spans="1:6" ht="15">
      <c r="A18" s="225">
        <v>43770</v>
      </c>
      <c r="B18" s="188">
        <f t="shared" si="4"/>
        <v>-513587.23713235284</v>
      </c>
      <c r="C18" s="188">
        <v>43424.92</v>
      </c>
      <c r="D18" s="188">
        <f t="shared" si="0"/>
        <v>-1711.9574571078429</v>
      </c>
      <c r="E18" s="188">
        <f t="shared" si="5"/>
        <v>45136.87745710784</v>
      </c>
      <c r="F18" s="188">
        <f t="shared" si="6"/>
        <v>-558724.1145894607</v>
      </c>
    </row>
    <row r="19" spans="1:6" ht="15">
      <c r="A19" s="225">
        <v>43800</v>
      </c>
      <c r="B19" s="188">
        <f t="shared" si="4"/>
        <v>-558724.1145894607</v>
      </c>
      <c r="C19" s="188">
        <v>43424.92</v>
      </c>
      <c r="D19" s="188">
        <f t="shared" si="0"/>
        <v>-1862.4137152982023</v>
      </c>
      <c r="E19" s="188">
        <f t="shared" si="5"/>
        <v>45287.3337152982</v>
      </c>
      <c r="F19" s="188">
        <f t="shared" si="6"/>
        <v>-604011.4483047589</v>
      </c>
    </row>
    <row r="20" spans="1:6" ht="15">
      <c r="A20" s="225">
        <v>43831</v>
      </c>
      <c r="B20" s="188">
        <f t="shared" si="4"/>
        <v>-604011.4483047589</v>
      </c>
      <c r="C20" s="188">
        <v>43424.92</v>
      </c>
      <c r="D20" s="188">
        <f t="shared" si="0"/>
        <v>-2013.3714943491962</v>
      </c>
      <c r="E20" s="188">
        <f t="shared" si="5"/>
        <v>45438.29149434919</v>
      </c>
      <c r="F20" s="188">
        <f t="shared" si="6"/>
        <v>-649449.7397991081</v>
      </c>
    </row>
    <row r="21" spans="1:6" ht="15">
      <c r="A21" s="225">
        <v>43862</v>
      </c>
      <c r="B21" s="188">
        <f t="shared" si="4"/>
        <v>-649449.7397991081</v>
      </c>
      <c r="C21" s="188">
        <v>43424.92</v>
      </c>
      <c r="D21" s="188">
        <f t="shared" si="0"/>
        <v>-2164.832465997027</v>
      </c>
      <c r="E21" s="188">
        <f t="shared" si="5"/>
        <v>45589.75246599702</v>
      </c>
      <c r="F21" s="188">
        <f t="shared" si="6"/>
        <v>-695039.4922651051</v>
      </c>
    </row>
    <row r="22" spans="1:6" ht="15">
      <c r="A22" s="225">
        <v>43891</v>
      </c>
      <c r="B22" s="188">
        <f t="shared" si="4"/>
        <v>-695039.4922651051</v>
      </c>
      <c r="C22" s="188">
        <v>43424.92</v>
      </c>
      <c r="D22" s="188">
        <f t="shared" si="0"/>
        <v>-2316.7983075503503</v>
      </c>
      <c r="E22" s="188">
        <f t="shared" si="5"/>
        <v>45741.71830755035</v>
      </c>
      <c r="F22" s="188">
        <f t="shared" si="6"/>
        <v>-740781.2105726554</v>
      </c>
    </row>
    <row r="23" spans="1:6" ht="15">
      <c r="A23" s="225">
        <v>43922</v>
      </c>
      <c r="B23" s="188">
        <f t="shared" si="4"/>
        <v>-740781.2105726554</v>
      </c>
      <c r="C23" s="188">
        <v>43424.92</v>
      </c>
      <c r="D23" s="188">
        <f t="shared" si="0"/>
        <v>-2469.2707019088516</v>
      </c>
      <c r="E23" s="188">
        <f t="shared" si="5"/>
        <v>45894.19070190885</v>
      </c>
      <c r="F23" s="188">
        <f t="shared" si="6"/>
        <v>-786675.4012745643</v>
      </c>
    </row>
    <row r="24" spans="1:6" ht="15">
      <c r="A24" s="225">
        <v>43952</v>
      </c>
      <c r="B24" s="188">
        <f t="shared" si="4"/>
        <v>-786675.4012745643</v>
      </c>
      <c r="C24" s="188">
        <v>43424.92</v>
      </c>
      <c r="D24" s="188">
        <f t="shared" si="0"/>
        <v>-2622.251337581881</v>
      </c>
      <c r="E24" s="188">
        <f t="shared" si="5"/>
        <v>46047.17133758188</v>
      </c>
      <c r="F24" s="188">
        <f t="shared" si="6"/>
        <v>-832722.5726121461</v>
      </c>
    </row>
    <row r="25" spans="1:6" ht="15">
      <c r="A25" s="225">
        <v>43983</v>
      </c>
      <c r="B25" s="188">
        <f t="shared" si="4"/>
        <v>-832722.5726121461</v>
      </c>
      <c r="C25" s="188">
        <v>43424.92</v>
      </c>
      <c r="D25" s="188">
        <f t="shared" si="0"/>
        <v>-2775.741908707154</v>
      </c>
      <c r="E25" s="188">
        <f t="shared" si="5"/>
        <v>46200.66190870715</v>
      </c>
      <c r="F25" s="188">
        <f t="shared" si="6"/>
        <v>-878923.2345208533</v>
      </c>
    </row>
    <row r="26" spans="1:6" ht="15">
      <c r="A26" s="225">
        <v>44013</v>
      </c>
      <c r="B26" s="188">
        <f t="shared" si="4"/>
        <v>-878923.2345208533</v>
      </c>
      <c r="C26" s="188">
        <v>43424.92</v>
      </c>
      <c r="D26" s="188">
        <f t="shared" si="0"/>
        <v>-2929.744115069511</v>
      </c>
      <c r="E26" s="188">
        <f t="shared" si="5"/>
        <v>46354.66411506951</v>
      </c>
      <c r="F26" s="188">
        <f t="shared" si="6"/>
        <v>-925277.8986359228</v>
      </c>
    </row>
    <row r="27" spans="1:6" ht="15">
      <c r="A27" s="225">
        <v>44044</v>
      </c>
      <c r="B27" s="188">
        <f t="shared" si="4"/>
        <v>-925277.8986359228</v>
      </c>
      <c r="C27" s="188">
        <v>43424.92</v>
      </c>
      <c r="D27" s="188">
        <f t="shared" si="0"/>
        <v>-3084.2596621197426</v>
      </c>
      <c r="E27" s="188">
        <f t="shared" si="5"/>
        <v>46509.17966211974</v>
      </c>
      <c r="F27" s="188">
        <f t="shared" si="6"/>
        <v>-971787.0782980425</v>
      </c>
    </row>
    <row r="28" spans="1:6" ht="15">
      <c r="A28" s="225">
        <v>44075</v>
      </c>
      <c r="B28" s="188">
        <f t="shared" si="4"/>
        <v>-971787.0782980425</v>
      </c>
      <c r="C28" s="188">
        <v>43424.92</v>
      </c>
      <c r="D28" s="188">
        <f t="shared" si="0"/>
        <v>-3239.2902609934754</v>
      </c>
      <c r="E28" s="188">
        <f t="shared" si="5"/>
        <v>46664.210260993474</v>
      </c>
      <c r="F28" s="188">
        <f t="shared" si="6"/>
        <v>-1018451.288559036</v>
      </c>
    </row>
    <row r="29" spans="1:6" ht="15">
      <c r="A29" s="225">
        <v>44105</v>
      </c>
      <c r="B29" s="188">
        <f t="shared" si="4"/>
        <v>-1018451.288559036</v>
      </c>
      <c r="C29" s="188">
        <v>43424.92</v>
      </c>
      <c r="D29" s="188">
        <f t="shared" si="0"/>
        <v>-3394.83762853012</v>
      </c>
      <c r="E29" s="188">
        <f t="shared" si="5"/>
        <v>46819.75762853012</v>
      </c>
      <c r="F29" s="188">
        <f t="shared" si="6"/>
        <v>-1065271.0461875661</v>
      </c>
    </row>
    <row r="30" spans="4:5" ht="15">
      <c r="D30" s="222">
        <f>SUM(D6:D29)</f>
        <v>-39572.96618756625</v>
      </c>
      <c r="E30" s="222">
        <f>SUM(E6:E29)</f>
        <v>1081771.0461875661</v>
      </c>
    </row>
  </sheetData>
  <sheetProtection/>
  <mergeCells count="1"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C19" sqref="C19"/>
    </sheetView>
  </sheetViews>
  <sheetFormatPr defaultColWidth="8.8515625" defaultRowHeight="15" customHeight="1"/>
  <cols>
    <col min="1" max="1" width="6.57421875" style="1" customWidth="1"/>
    <col min="2" max="2" width="35.421875" style="1" customWidth="1"/>
    <col min="3" max="3" width="15.140625" style="1" customWidth="1"/>
    <col min="4" max="5" width="16.421875" style="1" customWidth="1"/>
    <col min="6" max="6" width="8.8515625" style="1" customWidth="1"/>
    <col min="7" max="7" width="1.28515625" style="1" customWidth="1"/>
    <col min="8" max="16384" width="8.8515625" style="1" customWidth="1"/>
  </cols>
  <sheetData>
    <row r="1" spans="1:6" ht="15" customHeight="1">
      <c r="A1" s="474"/>
      <c r="B1" s="475" t="s">
        <v>0</v>
      </c>
      <c r="C1" s="476"/>
      <c r="D1" s="476"/>
      <c r="E1" s="477"/>
      <c r="F1" s="12"/>
    </row>
    <row r="2" spans="1:6" ht="15" customHeight="1">
      <c r="A2" s="478"/>
      <c r="B2" s="3"/>
      <c r="C2" s="4" t="s">
        <v>1</v>
      </c>
      <c r="D2" s="4" t="s">
        <v>2</v>
      </c>
      <c r="E2" s="479" t="s">
        <v>3</v>
      </c>
      <c r="F2" s="12"/>
    </row>
    <row r="3" spans="1:6" ht="15" customHeight="1">
      <c r="A3" s="480" t="s">
        <v>4</v>
      </c>
      <c r="B3" s="400"/>
      <c r="C3" s="4"/>
      <c r="D3" s="4"/>
      <c r="E3" s="479"/>
      <c r="F3" s="12"/>
    </row>
    <row r="4" spans="1:6" ht="15" customHeight="1">
      <c r="A4" s="478"/>
      <c r="B4" s="386" t="s">
        <v>204</v>
      </c>
      <c r="C4" s="445">
        <v>2700000</v>
      </c>
      <c r="D4" s="445">
        <v>5400000</v>
      </c>
      <c r="E4" s="481">
        <v>8100000</v>
      </c>
      <c r="F4" s="12"/>
    </row>
    <row r="5" spans="1:6" ht="15" customHeight="1">
      <c r="A5" s="478"/>
      <c r="B5" s="5" t="s">
        <v>248</v>
      </c>
      <c r="C5" s="445">
        <v>1270000</v>
      </c>
      <c r="D5" s="445">
        <v>1588000</v>
      </c>
      <c r="E5" s="481">
        <v>2005000</v>
      </c>
      <c r="F5" s="12"/>
    </row>
    <row r="6" spans="1:6" ht="15" customHeight="1">
      <c r="A6" s="478"/>
      <c r="B6" s="5"/>
      <c r="C6" s="445">
        <f>'Monthly Proforma P&amp;L'!AN7</f>
        <v>0</v>
      </c>
      <c r="D6" s="445"/>
      <c r="E6" s="481"/>
      <c r="F6" s="12"/>
    </row>
    <row r="7" spans="1:6" ht="15" customHeight="1">
      <c r="A7" s="478"/>
      <c r="B7" s="5"/>
      <c r="C7" s="362"/>
      <c r="D7" s="362"/>
      <c r="E7" s="482"/>
      <c r="F7" s="12"/>
    </row>
    <row r="8" spans="1:6" ht="15" customHeight="1">
      <c r="A8" s="478"/>
      <c r="B8" s="397" t="s">
        <v>12</v>
      </c>
      <c r="C8" s="445">
        <f>SUM(C4:C7)</f>
        <v>3970000</v>
      </c>
      <c r="D8" s="445">
        <f>SUM(D4:D7)</f>
        <v>6988000</v>
      </c>
      <c r="E8" s="481">
        <f>SUM(E4:E7)</f>
        <v>10105000</v>
      </c>
      <c r="F8" s="12"/>
    </row>
    <row r="9" spans="1:6" ht="15" customHeight="1">
      <c r="A9" s="483" t="s">
        <v>216</v>
      </c>
      <c r="B9" s="397"/>
      <c r="C9" s="362"/>
      <c r="D9" s="362"/>
      <c r="E9" s="482"/>
      <c r="F9" s="12"/>
    </row>
    <row r="10" spans="1:6" ht="15" customHeight="1">
      <c r="A10" s="478"/>
      <c r="B10" s="376" t="s">
        <v>252</v>
      </c>
      <c r="C10" s="446">
        <f>-'Sales and cost of sales'!AM25</f>
        <v>-968772.440192</v>
      </c>
      <c r="D10" s="446">
        <f>-'Sales and cost of sales'!AN25</f>
        <v>-3906034.327195889</v>
      </c>
      <c r="E10" s="484">
        <f>-'Sales and cost of sales'!AO25</f>
        <v>-6675552.7421239</v>
      </c>
      <c r="F10" s="12"/>
    </row>
    <row r="11" spans="1:6" ht="15" customHeight="1">
      <c r="A11" s="478"/>
      <c r="B11" s="5" t="s">
        <v>250</v>
      </c>
      <c r="C11" s="446">
        <v>1500</v>
      </c>
      <c r="D11" s="446">
        <v>1500</v>
      </c>
      <c r="E11" s="484">
        <v>1500</v>
      </c>
      <c r="F11" s="12"/>
    </row>
    <row r="12" spans="1:6" ht="15" customHeight="1">
      <c r="A12" s="478"/>
      <c r="B12" s="376" t="s">
        <v>249</v>
      </c>
      <c r="C12" s="446">
        <v>1500</v>
      </c>
      <c r="D12" s="446">
        <v>1500</v>
      </c>
      <c r="E12" s="484">
        <v>1500</v>
      </c>
      <c r="F12" s="12"/>
    </row>
    <row r="13" spans="1:6" ht="15" customHeight="1">
      <c r="A13" s="478"/>
      <c r="B13" s="376" t="s">
        <v>202</v>
      </c>
      <c r="C13" s="446">
        <f>-'Sales and cost of sales'!AM28</f>
        <v>-12000</v>
      </c>
      <c r="D13" s="446">
        <f>-'Sales and cost of sales'!AN28</f>
        <v>-12000</v>
      </c>
      <c r="E13" s="484">
        <f>-'Sales and cost of sales'!AO28</f>
        <v>-12000</v>
      </c>
      <c r="F13" s="12"/>
    </row>
    <row r="14" spans="1:6" ht="15" customHeight="1">
      <c r="A14" s="478"/>
      <c r="B14" s="398" t="s">
        <v>217</v>
      </c>
      <c r="C14" s="447">
        <f>SUM(C10:C13)</f>
        <v>-977772.440192</v>
      </c>
      <c r="D14" s="447">
        <f>SUM(D10:D13)</f>
        <v>-3915034.327195889</v>
      </c>
      <c r="E14" s="485">
        <f>SUM(E10:E13)</f>
        <v>-6684552.7421239</v>
      </c>
      <c r="F14" s="12"/>
    </row>
    <row r="15" spans="1:6" ht="15" customHeight="1">
      <c r="A15" s="478"/>
      <c r="B15" s="398" t="s">
        <v>206</v>
      </c>
      <c r="C15" s="447">
        <f>C14+C8</f>
        <v>2992227.559808</v>
      </c>
      <c r="D15" s="447">
        <f>D14+D8</f>
        <v>3072965.672804111</v>
      </c>
      <c r="E15" s="485">
        <f>E14+E8</f>
        <v>3420447.2578761</v>
      </c>
      <c r="F15" s="12"/>
    </row>
    <row r="16" spans="1:6" ht="15" customHeight="1">
      <c r="A16" s="478"/>
      <c r="B16" s="398"/>
      <c r="C16" s="399"/>
      <c r="D16" s="399"/>
      <c r="E16" s="486"/>
      <c r="F16" s="12"/>
    </row>
    <row r="17" spans="1:6" ht="15" customHeight="1">
      <c r="A17" s="483" t="s">
        <v>218</v>
      </c>
      <c r="B17" s="398"/>
      <c r="C17" s="399"/>
      <c r="D17" s="399"/>
      <c r="E17" s="486"/>
      <c r="F17" s="12"/>
    </row>
    <row r="18" spans="1:6" ht="15" customHeight="1">
      <c r="A18" s="478"/>
      <c r="B18" s="30" t="s">
        <v>251</v>
      </c>
      <c r="C18" s="446">
        <v>200000</v>
      </c>
      <c r="D18" s="446">
        <v>200000</v>
      </c>
      <c r="E18" s="484">
        <v>200000</v>
      </c>
      <c r="F18" s="12"/>
    </row>
    <row r="19" spans="1:6" ht="15" customHeight="1">
      <c r="A19" s="478"/>
      <c r="B19" s="30" t="s">
        <v>247</v>
      </c>
      <c r="C19" s="446">
        <f>'Monthly Proforma P&amp;L'!AN19</f>
        <v>-30600</v>
      </c>
      <c r="D19" s="446">
        <f>'Monthly Proforma P&amp;L'!AO19</f>
        <v>-24000</v>
      </c>
      <c r="E19" s="484">
        <f>'Monthly Proforma P&amp;L'!AP19</f>
        <v>-24000</v>
      </c>
      <c r="F19" s="12"/>
    </row>
    <row r="20" spans="1:6" ht="15" customHeight="1">
      <c r="A20" s="478"/>
      <c r="B20" s="30" t="s">
        <v>211</v>
      </c>
      <c r="C20" s="446">
        <f>'Monthly Proforma P&amp;L'!AN20</f>
        <v>-420000</v>
      </c>
      <c r="D20" s="446">
        <f>'Monthly Proforma P&amp;L'!AO20</f>
        <v>-420000</v>
      </c>
      <c r="E20" s="484">
        <f>'Monthly Proforma P&amp;L'!AP20</f>
        <v>-420000</v>
      </c>
      <c r="F20" s="12"/>
    </row>
    <row r="21" spans="1:6" ht="15" customHeight="1">
      <c r="A21" s="478"/>
      <c r="B21" s="30" t="s">
        <v>212</v>
      </c>
      <c r="C21" s="446">
        <v>50000</v>
      </c>
      <c r="D21" s="446">
        <v>50000</v>
      </c>
      <c r="E21" s="484">
        <v>50000</v>
      </c>
      <c r="F21" s="12"/>
    </row>
    <row r="22" spans="1:6" ht="15" customHeight="1">
      <c r="A22" s="478"/>
      <c r="B22" s="30" t="s">
        <v>213</v>
      </c>
      <c r="C22" s="446">
        <f>'Monthly Proforma P&amp;L'!AN22</f>
        <v>-45300</v>
      </c>
      <c r="D22" s="446">
        <f>'Monthly Proforma P&amp;L'!AO22</f>
        <v>-45300</v>
      </c>
      <c r="E22" s="484">
        <f>'Monthly Proforma P&amp;L'!AP22</f>
        <v>-45300</v>
      </c>
      <c r="F22" s="12"/>
    </row>
    <row r="23" spans="1:6" ht="15" customHeight="1">
      <c r="A23" s="478"/>
      <c r="B23" s="398" t="s">
        <v>219</v>
      </c>
      <c r="C23" s="447">
        <f>SUM(C18:C22)</f>
        <v>-245900</v>
      </c>
      <c r="D23" s="447">
        <f>SUM(D18:D22)</f>
        <v>-239300</v>
      </c>
      <c r="E23" s="485">
        <f>SUM(E18:E22)</f>
        <v>-239300</v>
      </c>
      <c r="F23" s="12"/>
    </row>
    <row r="24" spans="1:6" ht="15" customHeight="1">
      <c r="A24" s="478"/>
      <c r="B24" s="397" t="s">
        <v>220</v>
      </c>
      <c r="C24" s="447">
        <f>C23+C15</f>
        <v>2746327.559808</v>
      </c>
      <c r="D24" s="447">
        <f>D23+D15</f>
        <v>2833665.672804111</v>
      </c>
      <c r="E24" s="485">
        <f>E23+E15</f>
        <v>3181147.2578761</v>
      </c>
      <c r="F24" s="12"/>
    </row>
    <row r="25" spans="1:6" ht="15" customHeight="1">
      <c r="A25" s="480" t="s">
        <v>239</v>
      </c>
      <c r="B25" s="5"/>
      <c r="C25" s="445"/>
      <c r="D25" s="445"/>
      <c r="E25" s="481"/>
      <c r="F25" s="12"/>
    </row>
    <row r="26" spans="1:6" ht="15" customHeight="1">
      <c r="A26" s="478"/>
      <c r="B26" s="397" t="s">
        <v>146</v>
      </c>
      <c r="C26" s="445">
        <f>'Monthly Proforma P&amp;L'!AN33</f>
        <v>-6944.444444444444</v>
      </c>
      <c r="D26" s="445">
        <f>'Monthly Proforma P&amp;L'!AO33</f>
        <v>-8333.333333333334</v>
      </c>
      <c r="E26" s="481">
        <f>'Monthly Proforma P&amp;L'!AP33</f>
        <v>-8333.333333333334</v>
      </c>
      <c r="F26" s="12"/>
    </row>
    <row r="27" spans="1:6" ht="15" customHeight="1">
      <c r="A27" s="478"/>
      <c r="B27" s="397" t="s">
        <v>245</v>
      </c>
      <c r="C27" s="445"/>
      <c r="D27" s="446">
        <v>-34.13212890211506</v>
      </c>
      <c r="E27" s="481">
        <v>-162.4293390223871</v>
      </c>
      <c r="F27" s="12"/>
    </row>
    <row r="28" spans="1:6" ht="15" customHeight="1">
      <c r="A28" s="478"/>
      <c r="B28" s="397" t="s">
        <v>240</v>
      </c>
      <c r="C28" s="445">
        <f>C26+C24+C27</f>
        <v>2739383.1153635555</v>
      </c>
      <c r="D28" s="445">
        <f>D26+D24+D27</f>
        <v>2825298.2073418754</v>
      </c>
      <c r="E28" s="481">
        <f>E26+E24+E27</f>
        <v>3172651.495203744</v>
      </c>
      <c r="F28" s="12"/>
    </row>
    <row r="29" spans="1:6" ht="15" customHeight="1">
      <c r="A29" s="478"/>
      <c r="B29" s="401" t="s">
        <v>221</v>
      </c>
      <c r="C29" s="402">
        <f>C15/C8</f>
        <v>0.7537097127979849</v>
      </c>
      <c r="D29" s="402">
        <f>D15/D8</f>
        <v>0.4397489514602334</v>
      </c>
      <c r="E29" s="487">
        <f>E15/E8</f>
        <v>0.3384905747527066</v>
      </c>
      <c r="F29" s="12"/>
    </row>
    <row r="30" spans="1:6" ht="15" customHeight="1">
      <c r="A30" s="478"/>
      <c r="B30" s="401" t="s">
        <v>222</v>
      </c>
      <c r="C30" s="429">
        <f>C24/C8</f>
        <v>0.6917701661984886</v>
      </c>
      <c r="D30" s="429">
        <f>D24/D8</f>
        <v>0.40550453245622653</v>
      </c>
      <c r="E30" s="488">
        <f>E24/E8</f>
        <v>0.3148092288843246</v>
      </c>
      <c r="F30" s="12"/>
    </row>
    <row r="31" spans="1:6" ht="15" customHeight="1" thickBot="1">
      <c r="A31" s="489"/>
      <c r="B31" s="490" t="s">
        <v>241</v>
      </c>
      <c r="C31" s="491">
        <f>C28/C8</f>
        <v>0.6900209358598377</v>
      </c>
      <c r="D31" s="491">
        <f>D28/D8</f>
        <v>0.4043071275532163</v>
      </c>
      <c r="E31" s="492">
        <f>E28/E8</f>
        <v>0.3139684804753829</v>
      </c>
      <c r="F31" s="12"/>
    </row>
    <row r="32" spans="2:6" ht="15" customHeight="1">
      <c r="B32" s="472"/>
      <c r="C32" s="473"/>
      <c r="D32" s="473"/>
      <c r="E32" s="473"/>
      <c r="F32" s="2"/>
    </row>
    <row r="33" spans="2:6" ht="15" customHeight="1">
      <c r="B33" s="3"/>
      <c r="C33" s="300"/>
      <c r="D33" s="300"/>
      <c r="E33" s="300"/>
      <c r="F33" s="2"/>
    </row>
    <row r="34" spans="2:6" ht="15" customHeight="1">
      <c r="B34" s="5"/>
      <c r="C34" s="300"/>
      <c r="D34" s="300"/>
      <c r="E34" s="300"/>
      <c r="F34" s="2"/>
    </row>
    <row r="35" spans="2:6" ht="15" customHeight="1">
      <c r="B35" s="3"/>
      <c r="C35" s="300"/>
      <c r="D35" s="300"/>
      <c r="E35" s="300"/>
      <c r="F35" s="2"/>
    </row>
    <row r="36" spans="2:6" ht="15" customHeight="1">
      <c r="B36" s="5"/>
      <c r="C36" s="6"/>
      <c r="D36" s="6"/>
      <c r="E36" s="6"/>
      <c r="F36" s="2"/>
    </row>
    <row r="37" spans="2:6" ht="15" customHeight="1">
      <c r="B37" s="5"/>
      <c r="C37" s="6"/>
      <c r="D37" s="6"/>
      <c r="E37" s="6"/>
      <c r="F37" s="2"/>
    </row>
    <row r="38" spans="2:6" ht="15" customHeight="1">
      <c r="B38" s="5"/>
      <c r="C38" s="6"/>
      <c r="D38" s="6"/>
      <c r="E38" s="6"/>
      <c r="F38" s="2"/>
    </row>
    <row r="39" spans="2:6" ht="15" customHeight="1">
      <c r="B39" s="3"/>
      <c r="C39" s="3"/>
      <c r="D39" s="3"/>
      <c r="E39" s="3"/>
      <c r="F39" s="2"/>
    </row>
  </sheetData>
  <sheetProtection/>
  <mergeCells count="1">
    <mergeCell ref="B1:E1"/>
  </mergeCells>
  <printOptions/>
  <pageMargins left="0.75" right="0.75" top="1" bottom="1" header="0.3" footer="0.3"/>
  <pageSetup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90" zoomScaleNormal="90" zoomScalePageLayoutView="0" workbookViewId="0" topLeftCell="A25">
      <selection activeCell="C51" sqref="C51"/>
    </sheetView>
  </sheetViews>
  <sheetFormatPr defaultColWidth="11.421875" defaultRowHeight="15"/>
  <cols>
    <col min="1" max="1" width="10.421875" style="139" customWidth="1"/>
    <col min="2" max="2" width="26.421875" style="139" customWidth="1"/>
    <col min="3" max="3" width="14.00390625" style="139" bestFit="1" customWidth="1"/>
    <col min="4" max="4" width="15.00390625" style="139" bestFit="1" customWidth="1"/>
    <col min="5" max="5" width="15.00390625" style="139" customWidth="1"/>
    <col min="6" max="6" width="14.421875" style="139" hidden="1" customWidth="1"/>
    <col min="7" max="7" width="15.421875" style="139" hidden="1" customWidth="1"/>
    <col min="8" max="16384" width="11.421875" style="139" customWidth="1"/>
  </cols>
  <sheetData>
    <row r="1" spans="1:5" ht="18">
      <c r="A1" s="29" t="s">
        <v>163</v>
      </c>
      <c r="B1" s="136"/>
      <c r="C1" s="137"/>
      <c r="D1" s="138"/>
      <c r="E1" s="137"/>
    </row>
    <row r="2" spans="1:5" ht="12.75">
      <c r="A2" s="140"/>
      <c r="B2" s="138"/>
      <c r="C2" s="137"/>
      <c r="D2" s="138"/>
      <c r="E2" s="137"/>
    </row>
    <row r="3" spans="1:5" ht="12.75">
      <c r="A3" s="141"/>
      <c r="B3" s="142"/>
      <c r="C3" s="143"/>
      <c r="D3" s="142"/>
      <c r="E3" s="143"/>
    </row>
    <row r="4" spans="1:7" ht="12.75">
      <c r="A4" s="144"/>
      <c r="B4" s="144"/>
      <c r="C4" s="145" t="s">
        <v>1</v>
      </c>
      <c r="D4" s="145" t="s">
        <v>2</v>
      </c>
      <c r="E4" s="145" t="s">
        <v>3</v>
      </c>
      <c r="F4" s="145" t="s">
        <v>122</v>
      </c>
      <c r="G4" s="145" t="s">
        <v>123</v>
      </c>
    </row>
    <row r="5" spans="1:7" ht="12.75">
      <c r="A5" s="144"/>
      <c r="B5" s="144"/>
      <c r="C5" s="146" t="s">
        <v>124</v>
      </c>
      <c r="D5" s="146" t="s">
        <v>124</v>
      </c>
      <c r="E5" s="146" t="s">
        <v>124</v>
      </c>
      <c r="F5" s="146" t="s">
        <v>124</v>
      </c>
      <c r="G5" s="146" t="s">
        <v>124</v>
      </c>
    </row>
    <row r="6" spans="1:7" ht="12.75">
      <c r="A6" s="147" t="s">
        <v>29</v>
      </c>
      <c r="B6" s="148"/>
      <c r="C6" s="149"/>
      <c r="D6" s="150"/>
      <c r="E6" s="149"/>
      <c r="F6" s="151"/>
      <c r="G6" s="151"/>
    </row>
    <row r="7" spans="1:7" ht="12.75">
      <c r="A7" s="152"/>
      <c r="B7" s="153"/>
      <c r="C7" s="153"/>
      <c r="D7" s="153"/>
      <c r="E7" s="152"/>
      <c r="F7" s="151"/>
      <c r="G7" s="151"/>
    </row>
    <row r="8" spans="1:7" ht="12.75">
      <c r="A8" s="154"/>
      <c r="B8" s="155" t="s">
        <v>30</v>
      </c>
      <c r="C8" s="150"/>
      <c r="D8" s="150"/>
      <c r="E8" s="150"/>
      <c r="F8" s="151"/>
      <c r="G8" s="151"/>
    </row>
    <row r="9" spans="1:7" ht="12.75">
      <c r="A9" s="154"/>
      <c r="B9" s="156" t="s">
        <v>31</v>
      </c>
      <c r="C9" s="450">
        <f>'Cash Flow Proforma'!N7</f>
        <v>-641908.4783930026</v>
      </c>
      <c r="D9" s="448">
        <f>'Cash Flow Proforma'!Z7</f>
        <v>-341124.46532883425</v>
      </c>
      <c r="E9" s="448">
        <f>'Cash Flow Proforma'!AL7</f>
        <v>590173.2455747159</v>
      </c>
      <c r="F9" s="150">
        <f>'[1]Cash Flow'!F26</f>
        <v>19115571.578006722</v>
      </c>
      <c r="G9" s="150">
        <f>'[1]Cash Flow'!G26</f>
        <v>28027684.108141016</v>
      </c>
    </row>
    <row r="10" spans="1:7" ht="12.75">
      <c r="A10" s="154"/>
      <c r="B10" s="156" t="s">
        <v>33</v>
      </c>
      <c r="C10" s="448">
        <v>0</v>
      </c>
      <c r="D10" s="448">
        <f>'Cash Flow Proforma'!Z63</f>
        <v>100000</v>
      </c>
      <c r="E10" s="448">
        <f>'Cash Flow Proforma'!AL63</f>
        <v>100000</v>
      </c>
      <c r="F10" s="150">
        <v>0</v>
      </c>
      <c r="G10" s="150">
        <v>0</v>
      </c>
    </row>
    <row r="11" spans="1:7" ht="12.75">
      <c r="A11" s="154"/>
      <c r="B11" s="156" t="s">
        <v>34</v>
      </c>
      <c r="C11" s="448">
        <v>0</v>
      </c>
      <c r="D11" s="448">
        <v>0</v>
      </c>
      <c r="E11" s="448">
        <v>0</v>
      </c>
      <c r="F11" s="150">
        <v>0</v>
      </c>
      <c r="G11" s="150">
        <v>0</v>
      </c>
    </row>
    <row r="12" spans="1:7" ht="12.75">
      <c r="A12" s="154"/>
      <c r="B12" s="156" t="s">
        <v>35</v>
      </c>
      <c r="C12" s="448">
        <v>0</v>
      </c>
      <c r="D12" s="448">
        <v>0</v>
      </c>
      <c r="E12" s="448">
        <v>0</v>
      </c>
      <c r="F12" s="150">
        <v>0</v>
      </c>
      <c r="G12" s="150">
        <v>0</v>
      </c>
    </row>
    <row r="13" spans="1:7" ht="12.75">
      <c r="A13" s="154"/>
      <c r="B13" s="157" t="s">
        <v>125</v>
      </c>
      <c r="C13" s="449">
        <f>SUM(C9:C12)</f>
        <v>-641908.4783930026</v>
      </c>
      <c r="D13" s="449">
        <f>SUM(D9:D12)</f>
        <v>-241124.46532883425</v>
      </c>
      <c r="E13" s="449">
        <f>SUM(E9:E12)</f>
        <v>690173.2455747159</v>
      </c>
      <c r="F13" s="158">
        <f>SUM(F9:F12)</f>
        <v>19115571.578006722</v>
      </c>
      <c r="G13" s="158">
        <f>SUM(G9:G12)</f>
        <v>28027684.108141016</v>
      </c>
    </row>
    <row r="14" spans="1:7" ht="12.75">
      <c r="A14" s="154"/>
      <c r="B14" s="149"/>
      <c r="C14" s="358"/>
      <c r="D14" s="358"/>
      <c r="E14" s="358"/>
      <c r="F14" s="151"/>
      <c r="G14" s="151"/>
    </row>
    <row r="15" spans="1:7" ht="12.75">
      <c r="A15" s="154"/>
      <c r="B15" s="159" t="s">
        <v>126</v>
      </c>
      <c r="C15" s="358"/>
      <c r="D15" s="358"/>
      <c r="E15" s="358"/>
      <c r="F15" s="151"/>
      <c r="G15" s="151"/>
    </row>
    <row r="16" spans="1:7" ht="12.75">
      <c r="A16" s="154"/>
      <c r="B16" s="219" t="s">
        <v>238</v>
      </c>
      <c r="C16" s="451">
        <f>'Cash Flow Proforma'!N72</f>
        <v>25000</v>
      </c>
      <c r="D16" s="451">
        <f>'Cash Flow Proforma'!Z72</f>
        <v>25000</v>
      </c>
      <c r="E16" s="451">
        <f>'Cash Flow Proforma'!AL72</f>
        <v>25000</v>
      </c>
      <c r="F16" s="160">
        <v>0</v>
      </c>
      <c r="G16" s="160">
        <v>0</v>
      </c>
    </row>
    <row r="17" spans="1:7" ht="12.75">
      <c r="A17" s="154"/>
      <c r="B17" s="156" t="s">
        <v>127</v>
      </c>
      <c r="C17" s="451">
        <f>'Profit and loss'!C26</f>
        <v>-6944.444444444444</v>
      </c>
      <c r="D17" s="451">
        <f>C17+'Profit and loss'!D26</f>
        <v>-15277.777777777777</v>
      </c>
      <c r="E17" s="451">
        <f>D17+'Profit and loss'!E26</f>
        <v>-23611.11111111111</v>
      </c>
      <c r="F17" s="160">
        <f>'[1]Profit and Loss'!E33+'[1]Profit and Loss'!F33</f>
        <v>0</v>
      </c>
      <c r="G17" s="160">
        <f>'[1]Profit and Loss'!E33+'[1]Profit and Loss'!F33+'[1]Profit and Loss'!G33</f>
        <v>0</v>
      </c>
    </row>
    <row r="18" spans="1:7" ht="12.75">
      <c r="A18" s="154"/>
      <c r="B18" s="157" t="s">
        <v>128</v>
      </c>
      <c r="C18" s="452">
        <f>C16+C17</f>
        <v>18055.555555555555</v>
      </c>
      <c r="D18" s="452">
        <f>D16+D17</f>
        <v>9722.222222222223</v>
      </c>
      <c r="E18" s="452">
        <f>E16+E17</f>
        <v>1388.8888888888905</v>
      </c>
      <c r="F18" s="158">
        <f>F16+F17</f>
        <v>0</v>
      </c>
      <c r="G18" s="158">
        <f>G16+G17</f>
        <v>0</v>
      </c>
    </row>
    <row r="19" spans="1:7" ht="12.75">
      <c r="A19" s="154"/>
      <c r="B19" s="149"/>
      <c r="C19" s="359"/>
      <c r="D19" s="358"/>
      <c r="E19" s="358"/>
      <c r="F19" s="151"/>
      <c r="G19" s="151"/>
    </row>
    <row r="20" spans="1:7" ht="12.75">
      <c r="A20" s="154"/>
      <c r="B20" s="159" t="s">
        <v>129</v>
      </c>
      <c r="C20" s="358"/>
      <c r="D20" s="358"/>
      <c r="E20" s="358"/>
      <c r="F20" s="151"/>
      <c r="G20" s="151"/>
    </row>
    <row r="21" spans="1:7" ht="12.75">
      <c r="A21" s="154"/>
      <c r="B21" s="156" t="s">
        <v>130</v>
      </c>
      <c r="C21" s="451">
        <v>0</v>
      </c>
      <c r="D21" s="451">
        <v>0</v>
      </c>
      <c r="E21" s="451">
        <v>0</v>
      </c>
      <c r="F21" s="150">
        <v>0</v>
      </c>
      <c r="G21" s="150">
        <v>0</v>
      </c>
    </row>
    <row r="22" spans="1:7" ht="12.75">
      <c r="A22" s="154"/>
      <c r="B22" s="156" t="s">
        <v>127</v>
      </c>
      <c r="C22" s="451">
        <v>0</v>
      </c>
      <c r="D22" s="451">
        <v>0</v>
      </c>
      <c r="E22" s="451">
        <v>0</v>
      </c>
      <c r="F22" s="150">
        <v>0</v>
      </c>
      <c r="G22" s="150">
        <v>0</v>
      </c>
    </row>
    <row r="23" spans="1:7" ht="12.75">
      <c r="A23" s="154"/>
      <c r="B23" s="161" t="s">
        <v>131</v>
      </c>
      <c r="C23" s="452">
        <f>C21+C22</f>
        <v>0</v>
      </c>
      <c r="D23" s="452">
        <f>D21+D22</f>
        <v>0</v>
      </c>
      <c r="E23" s="452">
        <f>E21+E22</f>
        <v>0</v>
      </c>
      <c r="F23" s="158">
        <f>F21+F22</f>
        <v>0</v>
      </c>
      <c r="G23" s="158">
        <f>G21+G22</f>
        <v>0</v>
      </c>
    </row>
    <row r="24" spans="1:7" ht="12.75">
      <c r="A24" s="154"/>
      <c r="B24" s="150"/>
      <c r="C24" s="358"/>
      <c r="D24" s="358"/>
      <c r="E24" s="358"/>
      <c r="F24" s="151"/>
      <c r="G24" s="151"/>
    </row>
    <row r="25" spans="1:7" ht="13.5" thickBot="1">
      <c r="A25" s="154"/>
      <c r="B25" s="162" t="s">
        <v>48</v>
      </c>
      <c r="C25" s="360">
        <f>SUM(C13,C18,C23)</f>
        <v>-623852.9228374471</v>
      </c>
      <c r="D25" s="360">
        <f>SUM(D13,D18,D23)</f>
        <v>-231402.24310661203</v>
      </c>
      <c r="E25" s="360">
        <f>SUM(E13,E18,E23)</f>
        <v>691562.1344636048</v>
      </c>
      <c r="F25" s="163">
        <f>SUM(F13,F18,F23)</f>
        <v>19115571.578006722</v>
      </c>
      <c r="G25" s="163">
        <f>SUM(G13,G18,G23)</f>
        <v>28027684.108141016</v>
      </c>
    </row>
    <row r="26" spans="1:7" ht="13.5" thickTop="1">
      <c r="A26" s="149"/>
      <c r="B26" s="150"/>
      <c r="C26" s="359"/>
      <c r="D26" s="358"/>
      <c r="E26" s="359"/>
      <c r="F26" s="151"/>
      <c r="G26" s="151"/>
    </row>
    <row r="27" spans="1:7" ht="12.75">
      <c r="A27" s="164" t="s">
        <v>132</v>
      </c>
      <c r="B27" s="154"/>
      <c r="C27" s="359"/>
      <c r="D27" s="358"/>
      <c r="E27" s="359"/>
      <c r="F27" s="151"/>
      <c r="G27" s="151"/>
    </row>
    <row r="28" spans="1:7" ht="12.75">
      <c r="A28" s="165"/>
      <c r="B28" s="159"/>
      <c r="C28" s="358"/>
      <c r="D28" s="358"/>
      <c r="E28" s="358"/>
      <c r="F28" s="151"/>
      <c r="G28" s="151"/>
    </row>
    <row r="29" spans="1:7" ht="12.75">
      <c r="A29" s="154"/>
      <c r="B29" s="159" t="s">
        <v>50</v>
      </c>
      <c r="C29" s="358"/>
      <c r="D29" s="358"/>
      <c r="E29" s="358"/>
      <c r="F29" s="151"/>
      <c r="G29" s="151"/>
    </row>
    <row r="30" spans="1:7" ht="12.75">
      <c r="A30" s="154"/>
      <c r="B30" s="156" t="s">
        <v>133</v>
      </c>
      <c r="C30" s="448">
        <f>'Cash Flow Proforma'!N68</f>
        <v>169149.13524126718</v>
      </c>
      <c r="D30" s="448">
        <f>'Cash Flow Proforma'!Z68</f>
        <v>526325.3972879737</v>
      </c>
      <c r="E30" s="448">
        <f>'Cash Flow Proforma'!AL68</f>
        <v>594560.5168456266</v>
      </c>
      <c r="F30" s="150">
        <v>0</v>
      </c>
      <c r="G30" s="150">
        <v>0</v>
      </c>
    </row>
    <row r="31" spans="1:7" ht="12.75">
      <c r="A31" s="154"/>
      <c r="B31" s="156" t="s">
        <v>134</v>
      </c>
      <c r="C31" s="448">
        <v>0</v>
      </c>
      <c r="D31" s="448">
        <v>0</v>
      </c>
      <c r="E31" s="448">
        <v>0</v>
      </c>
      <c r="F31" s="150">
        <v>0</v>
      </c>
      <c r="G31" s="150">
        <v>0</v>
      </c>
    </row>
    <row r="32" spans="1:7" ht="12.75">
      <c r="A32" s="154"/>
      <c r="B32" s="157" t="s">
        <v>135</v>
      </c>
      <c r="C32" s="449">
        <f>SUM(C30:C31)</f>
        <v>169149.13524126718</v>
      </c>
      <c r="D32" s="449">
        <f>SUM(D30:D31)</f>
        <v>526325.3972879737</v>
      </c>
      <c r="E32" s="449">
        <f>SUM(E30:E31)</f>
        <v>594560.5168456266</v>
      </c>
      <c r="F32" s="158">
        <f>SUM(F30:F31)</f>
        <v>0</v>
      </c>
      <c r="G32" s="158">
        <f>SUM(G30:G31)</f>
        <v>0</v>
      </c>
    </row>
    <row r="33" spans="1:7" ht="12.75">
      <c r="A33" s="154"/>
      <c r="B33" s="150"/>
      <c r="C33" s="358"/>
      <c r="D33" s="358"/>
      <c r="E33" s="358"/>
      <c r="F33" s="151"/>
      <c r="G33" s="151"/>
    </row>
    <row r="34" spans="1:7" ht="12.75">
      <c r="A34" s="154"/>
      <c r="B34" s="159" t="s">
        <v>136</v>
      </c>
      <c r="C34" s="358"/>
      <c r="D34" s="358"/>
      <c r="E34" s="358"/>
      <c r="F34" s="151"/>
      <c r="G34" s="151"/>
    </row>
    <row r="35" spans="1:7" ht="12.75">
      <c r="A35" s="154"/>
      <c r="B35" s="219" t="s">
        <v>159</v>
      </c>
      <c r="C35" s="448"/>
      <c r="D35" s="448">
        <f>C37</f>
        <v>0</v>
      </c>
      <c r="E35" s="448">
        <f>D37</f>
        <v>0</v>
      </c>
      <c r="F35" s="150">
        <f>'[1]Cash Flow'!F20</f>
        <v>0</v>
      </c>
      <c r="G35" s="150">
        <f>'[1]Cash Flow'!G20</f>
        <v>0</v>
      </c>
    </row>
    <row r="36" spans="1:7" ht="12.75">
      <c r="A36" s="154"/>
      <c r="B36" s="219" t="s">
        <v>160</v>
      </c>
      <c r="C36" s="448">
        <v>0</v>
      </c>
      <c r="D36" s="448">
        <v>0</v>
      </c>
      <c r="E36" s="448">
        <v>0</v>
      </c>
      <c r="F36" s="150">
        <f>E36</f>
        <v>0</v>
      </c>
      <c r="G36" s="150">
        <f>F36</f>
        <v>0</v>
      </c>
    </row>
    <row r="37" spans="1:7" ht="12.75">
      <c r="A37" s="154"/>
      <c r="B37" s="157" t="s">
        <v>137</v>
      </c>
      <c r="C37" s="449">
        <f>SUM(C35:C36)</f>
        <v>0</v>
      </c>
      <c r="D37" s="449">
        <f>SUM(D35:D36)</f>
        <v>0</v>
      </c>
      <c r="E37" s="449">
        <f>SUM(E35:E36)</f>
        <v>0</v>
      </c>
      <c r="F37" s="158">
        <f>SUM(F35:F36)</f>
        <v>0</v>
      </c>
      <c r="G37" s="158">
        <f>SUM(G35:G36)</f>
        <v>0</v>
      </c>
    </row>
    <row r="38" spans="1:7" ht="12.75">
      <c r="A38" s="154"/>
      <c r="B38" s="150"/>
      <c r="C38" s="358"/>
      <c r="D38" s="358"/>
      <c r="E38" s="358"/>
      <c r="F38" s="150"/>
      <c r="G38" s="150"/>
    </row>
    <row r="39" spans="1:7" ht="12.75">
      <c r="A39" s="154"/>
      <c r="B39" s="159" t="s">
        <v>138</v>
      </c>
      <c r="C39" s="448">
        <f>(C32+C37)</f>
        <v>169149.13524126718</v>
      </c>
      <c r="D39" s="448">
        <f>(D32+D37)</f>
        <v>526325.3972879737</v>
      </c>
      <c r="E39" s="448">
        <f>(E32+E37)</f>
        <v>594560.5168456266</v>
      </c>
      <c r="F39" s="150">
        <f>(F32+F37)</f>
        <v>0</v>
      </c>
      <c r="G39" s="150">
        <f>(G32+G37)</f>
        <v>0</v>
      </c>
    </row>
    <row r="40" spans="1:7" ht="12.75">
      <c r="A40" s="154"/>
      <c r="B40" s="150"/>
      <c r="C40" s="358"/>
      <c r="D40" s="358"/>
      <c r="E40" s="358"/>
      <c r="F40" s="151"/>
      <c r="G40" s="151"/>
    </row>
    <row r="41" spans="1:7" ht="12.75">
      <c r="A41" s="154"/>
      <c r="B41" s="159" t="s">
        <v>139</v>
      </c>
      <c r="C41" s="358"/>
      <c r="D41" s="358"/>
      <c r="E41" s="358"/>
      <c r="F41" s="151"/>
      <c r="G41" s="151"/>
    </row>
    <row r="42" spans="1:7" s="167" customFormat="1" ht="12.75">
      <c r="A42" s="166"/>
      <c r="B42" s="156" t="s">
        <v>140</v>
      </c>
      <c r="C42" s="358"/>
      <c r="D42" s="358">
        <v>0</v>
      </c>
      <c r="E42" s="358">
        <v>0</v>
      </c>
      <c r="F42" s="150">
        <f>'[1]Cash Flow'!F20</f>
        <v>0</v>
      </c>
      <c r="G42" s="150">
        <f>'[1]Cash Flow'!G20</f>
        <v>0</v>
      </c>
    </row>
    <row r="43" spans="1:7" s="167" customFormat="1" ht="12.75">
      <c r="A43" s="166"/>
      <c r="B43" s="156" t="s">
        <v>141</v>
      </c>
      <c r="C43" s="448">
        <f>'Cash Flow Proforma'!N57</f>
        <v>500000</v>
      </c>
      <c r="D43" s="448">
        <f>'Cash Flow Proforma'!Z57</f>
        <v>500000</v>
      </c>
      <c r="E43" s="448">
        <f>'Cash Flow Proforma'!AL57</f>
        <v>500000</v>
      </c>
      <c r="F43" s="150">
        <f>SUM(F42:F42)</f>
        <v>0</v>
      </c>
      <c r="G43" s="150">
        <f>SUM(G42:G42)</f>
        <v>0</v>
      </c>
    </row>
    <row r="44" spans="1:7" s="167" customFormat="1" ht="12.75">
      <c r="A44" s="166"/>
      <c r="B44" s="156"/>
      <c r="C44" s="448"/>
      <c r="D44" s="448"/>
      <c r="E44" s="448"/>
      <c r="F44" s="150"/>
      <c r="G44" s="150"/>
    </row>
    <row r="45" spans="1:7" ht="12.75">
      <c r="A45" s="154"/>
      <c r="B45" s="156" t="s">
        <v>142</v>
      </c>
      <c r="C45" s="448">
        <v>0</v>
      </c>
      <c r="D45" s="448">
        <f>C45+C46</f>
        <v>2739383.1153635555</v>
      </c>
      <c r="E45" s="448">
        <f>D45+D46</f>
        <v>5564681.322705431</v>
      </c>
      <c r="F45" s="150">
        <f>E45+E46</f>
        <v>8737332.817909176</v>
      </c>
      <c r="G45" s="150">
        <f>F45+F46</f>
        <v>15804001.160027895</v>
      </c>
    </row>
    <row r="46" spans="1:7" ht="12.75">
      <c r="A46" s="154"/>
      <c r="B46" s="156" t="s">
        <v>143</v>
      </c>
      <c r="C46" s="448">
        <f>'Profit and loss'!C28</f>
        <v>2739383.1153635555</v>
      </c>
      <c r="D46" s="448">
        <f>'Profit and loss'!D28</f>
        <v>2825298.2073418754</v>
      </c>
      <c r="E46" s="448">
        <f>'Profit and loss'!E28</f>
        <v>3172651.495203744</v>
      </c>
      <c r="F46" s="150">
        <f>'[1]Profit and Loss'!F39</f>
        <v>7066668.34211872</v>
      </c>
      <c r="G46" s="150">
        <f>'[1]Profit and Loss'!G39</f>
        <v>8912112.530134294</v>
      </c>
    </row>
    <row r="47" spans="1:7" ht="12.75">
      <c r="A47" s="154"/>
      <c r="B47" s="168" t="s">
        <v>144</v>
      </c>
      <c r="C47" s="449">
        <f>SUM(C43:C46)</f>
        <v>3239383.1153635555</v>
      </c>
      <c r="D47" s="449">
        <f>SUM(D43:D46)</f>
        <v>6064681.322705431</v>
      </c>
      <c r="E47" s="449">
        <f>SUM(E43:E46)</f>
        <v>9237332.817909176</v>
      </c>
      <c r="F47" s="158">
        <f>SUM(F43:F46)</f>
        <v>15804001.160027895</v>
      </c>
      <c r="G47" s="158">
        <f>SUM(G43:G46)</f>
        <v>24716113.69016219</v>
      </c>
    </row>
    <row r="48" spans="1:7" ht="12.75">
      <c r="A48" s="154"/>
      <c r="B48" s="150"/>
      <c r="C48" s="448"/>
      <c r="D48" s="448"/>
      <c r="E48" s="448"/>
      <c r="F48" s="150"/>
      <c r="G48" s="150"/>
    </row>
    <row r="49" spans="1:7" ht="13.5" thickBot="1">
      <c r="A49" s="154"/>
      <c r="B49" s="162" t="s">
        <v>145</v>
      </c>
      <c r="C49" s="453">
        <f>C39+C47</f>
        <v>3408532.2506048228</v>
      </c>
      <c r="D49" s="453">
        <f>D39+D47</f>
        <v>6591006.719993405</v>
      </c>
      <c r="E49" s="453">
        <f>E39+E47</f>
        <v>9831893.334754802</v>
      </c>
      <c r="F49" s="163">
        <f>F39+F47</f>
        <v>15804001.160027895</v>
      </c>
      <c r="G49" s="163">
        <f>G39+G47</f>
        <v>24716113.69016219</v>
      </c>
    </row>
    <row r="50" spans="1:5" ht="13.5" thickTop="1">
      <c r="A50" s="169"/>
      <c r="B50" s="169"/>
      <c r="C50" s="361"/>
      <c r="D50" s="361"/>
      <c r="E50" s="361"/>
    </row>
    <row r="51" spans="1:5" ht="12.75">
      <c r="A51" s="167"/>
      <c r="B51" s="167"/>
      <c r="C51" s="454">
        <f>C49-C25</f>
        <v>4032385.1734422697</v>
      </c>
      <c r="D51" s="454">
        <f>D49-D25</f>
        <v>6822408.963100017</v>
      </c>
      <c r="E51" s="454">
        <f>E49-E25</f>
        <v>9140331.200291198</v>
      </c>
    </row>
    <row r="52" spans="6:7" ht="12.75">
      <c r="F52" s="139">
        <f>F25-F49</f>
        <v>3311570.417978827</v>
      </c>
      <c r="G52" s="139">
        <f>G25-G49</f>
        <v>3311570.417978827</v>
      </c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7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8.7109375" defaultRowHeight="12.75" customHeight="1"/>
  <cols>
    <col min="1" max="1" width="7.421875" style="1" customWidth="1"/>
    <col min="2" max="2" width="47.421875" style="1" customWidth="1"/>
    <col min="3" max="26" width="15.140625" style="1" bestFit="1" customWidth="1"/>
    <col min="27" max="37" width="15.28125" style="1" bestFit="1" customWidth="1"/>
    <col min="38" max="38" width="15.8515625" style="236" customWidth="1"/>
    <col min="39" max="39" width="1.57421875" style="236" customWidth="1"/>
    <col min="40" max="40" width="11.57421875" style="228" bestFit="1" customWidth="1"/>
    <col min="41" max="42" width="12.57421875" style="228" bestFit="1" customWidth="1"/>
    <col min="43" max="43" width="8.7109375" style="1" customWidth="1"/>
    <col min="44" max="16384" width="8.7109375" style="1" customWidth="1"/>
  </cols>
  <sheetData>
    <row r="1" spans="1:43" ht="18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234"/>
      <c r="AM1" s="234"/>
      <c r="AN1" s="238"/>
      <c r="AO1" s="238"/>
      <c r="AP1" s="238"/>
      <c r="AQ1" s="32"/>
    </row>
    <row r="2" spans="1:43" ht="15" customHeight="1">
      <c r="A2" s="30"/>
      <c r="B2" s="33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235"/>
      <c r="AM2" s="235"/>
      <c r="AN2" s="238"/>
      <c r="AO2" s="238"/>
      <c r="AP2" s="241"/>
      <c r="AQ2" s="36"/>
    </row>
    <row r="3" spans="1:43" ht="15" customHeight="1" thickBot="1">
      <c r="A3" s="38"/>
      <c r="B3" s="38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252"/>
      <c r="AN3" s="266"/>
      <c r="AO3" s="266"/>
      <c r="AP3" s="266"/>
      <c r="AQ3" s="39"/>
    </row>
    <row r="4" spans="1:43" ht="15" customHeight="1">
      <c r="A4" s="40" t="s">
        <v>4</v>
      </c>
      <c r="B4" s="41"/>
      <c r="C4" s="42">
        <f>'Cash Flow Proforma'!C9</f>
        <v>1</v>
      </c>
      <c r="D4" s="42">
        <f>'Cash Flow Proforma'!D9</f>
        <v>2</v>
      </c>
      <c r="E4" s="42">
        <f>'Cash Flow Proforma'!E9</f>
        <v>3</v>
      </c>
      <c r="F4" s="42">
        <f>'Cash Flow Proforma'!F9</f>
        <v>4</v>
      </c>
      <c r="G4" s="42">
        <f>'Cash Flow Proforma'!G9</f>
        <v>5</v>
      </c>
      <c r="H4" s="42">
        <f>'Cash Flow Proforma'!H9</f>
        <v>6</v>
      </c>
      <c r="I4" s="42">
        <f>'Cash Flow Proforma'!I9</f>
        <v>7</v>
      </c>
      <c r="J4" s="42">
        <f>'Cash Flow Proforma'!J9</f>
        <v>8</v>
      </c>
      <c r="K4" s="42">
        <f>'Cash Flow Proforma'!K9</f>
        <v>9</v>
      </c>
      <c r="L4" s="42">
        <f>'Cash Flow Proforma'!L9</f>
        <v>10</v>
      </c>
      <c r="M4" s="42">
        <f>'Cash Flow Proforma'!M9</f>
        <v>11</v>
      </c>
      <c r="N4" s="42">
        <f>'Cash Flow Proforma'!N9</f>
        <v>12</v>
      </c>
      <c r="O4" s="42">
        <f>'Cash Flow Proforma'!O9</f>
        <v>13</v>
      </c>
      <c r="P4" s="42">
        <f>'Cash Flow Proforma'!P9</f>
        <v>14</v>
      </c>
      <c r="Q4" s="42">
        <f>'Cash Flow Proforma'!Q9</f>
        <v>15</v>
      </c>
      <c r="R4" s="42">
        <f>'Cash Flow Proforma'!R9</f>
        <v>16</v>
      </c>
      <c r="S4" s="42">
        <f>'Cash Flow Proforma'!S9</f>
        <v>17</v>
      </c>
      <c r="T4" s="42">
        <f>'Cash Flow Proforma'!T9</f>
        <v>18</v>
      </c>
      <c r="U4" s="42">
        <f>'Cash Flow Proforma'!U9</f>
        <v>19</v>
      </c>
      <c r="V4" s="42">
        <f>'Cash Flow Proforma'!V9</f>
        <v>20</v>
      </c>
      <c r="W4" s="42">
        <f>'Cash Flow Proforma'!W9</f>
        <v>21</v>
      </c>
      <c r="X4" s="42">
        <f>'Cash Flow Proforma'!X9</f>
        <v>22</v>
      </c>
      <c r="Y4" s="42">
        <f>'Cash Flow Proforma'!Y9</f>
        <v>23</v>
      </c>
      <c r="Z4" s="42">
        <f>'Cash Flow Proforma'!Z9</f>
        <v>24</v>
      </c>
      <c r="AA4" s="42">
        <f>'Cash Flow Proforma'!AA9</f>
        <v>25</v>
      </c>
      <c r="AB4" s="42">
        <f>'Cash Flow Proforma'!AB9</f>
        <v>26</v>
      </c>
      <c r="AC4" s="42">
        <f>'Cash Flow Proforma'!AC9</f>
        <v>27</v>
      </c>
      <c r="AD4" s="42">
        <f>'Cash Flow Proforma'!AD9</f>
        <v>28</v>
      </c>
      <c r="AE4" s="42">
        <f>'Cash Flow Proforma'!AE9</f>
        <v>29</v>
      </c>
      <c r="AF4" s="42">
        <f>'Cash Flow Proforma'!AF9</f>
        <v>30</v>
      </c>
      <c r="AG4" s="42">
        <f>'Cash Flow Proforma'!AG9</f>
        <v>31</v>
      </c>
      <c r="AH4" s="42">
        <f>'Cash Flow Proforma'!AH9</f>
        <v>32</v>
      </c>
      <c r="AI4" s="42">
        <f>'Cash Flow Proforma'!AI9</f>
        <v>33</v>
      </c>
      <c r="AJ4" s="42">
        <f>'Cash Flow Proforma'!AJ9</f>
        <v>34</v>
      </c>
      <c r="AK4" s="42">
        <f>'Cash Flow Proforma'!AK9</f>
        <v>35</v>
      </c>
      <c r="AL4" s="42">
        <f>'Cash Flow Proforma'!AL9</f>
        <v>36</v>
      </c>
      <c r="AM4" s="253"/>
      <c r="AN4" s="267" t="s">
        <v>1</v>
      </c>
      <c r="AO4" s="268" t="s">
        <v>2</v>
      </c>
      <c r="AP4" s="269" t="s">
        <v>3</v>
      </c>
      <c r="AQ4" s="264"/>
    </row>
    <row r="5" spans="1:43" ht="15" customHeight="1">
      <c r="A5" s="45"/>
      <c r="B5" s="386" t="s">
        <v>204</v>
      </c>
      <c r="C5" s="357">
        <f>'Sales and cost of sales'!B10</f>
        <v>13333.333333333334</v>
      </c>
      <c r="D5" s="357">
        <f>'Sales and cost of sales'!C10</f>
        <v>20000</v>
      </c>
      <c r="E5" s="357">
        <f>'Sales and cost of sales'!D10</f>
        <v>40000</v>
      </c>
      <c r="F5" s="357">
        <f>'Sales and cost of sales'!E10</f>
        <v>48000</v>
      </c>
      <c r="G5" s="357">
        <f>'Sales and cost of sales'!F10</f>
        <v>57600</v>
      </c>
      <c r="H5" s="357">
        <f>'Sales and cost of sales'!G10</f>
        <v>69120</v>
      </c>
      <c r="I5" s="357">
        <f>'Sales and cost of sales'!H10</f>
        <v>82944</v>
      </c>
      <c r="J5" s="357">
        <f>'Sales and cost of sales'!I10</f>
        <v>99532.8</v>
      </c>
      <c r="K5" s="357">
        <f>'Sales and cost of sales'!J10</f>
        <v>119439.36</v>
      </c>
      <c r="L5" s="357">
        <f>'Sales and cost of sales'!K10</f>
        <v>143327.232</v>
      </c>
      <c r="M5" s="357">
        <f>'Sales and cost of sales'!L10</f>
        <v>171992.67839999998</v>
      </c>
      <c r="N5" s="357">
        <f>'Sales and cost of sales'!M10</f>
        <v>206391.21407999998</v>
      </c>
      <c r="O5" s="357">
        <f>'Sales and cost of sales'!N10</f>
        <v>227030.33548799998</v>
      </c>
      <c r="P5" s="357">
        <f>'Sales and cost of sales'!O10</f>
        <v>249733.3690368</v>
      </c>
      <c r="Q5" s="357">
        <f>'Sales and cost of sales'!P10</f>
        <v>274706.70594048005</v>
      </c>
      <c r="R5" s="357">
        <f>'Sales and cost of sales'!Q10</f>
        <v>302177.3765345281</v>
      </c>
      <c r="S5" s="357">
        <f>'Sales and cost of sales'!R10</f>
        <v>332395.1141879809</v>
      </c>
      <c r="T5" s="455">
        <f>'Sales and cost of sales'!S10</f>
        <v>365634.625606779</v>
      </c>
      <c r="U5" s="455">
        <f>'Sales and cost of sales'!T10</f>
        <v>402198.08816745697</v>
      </c>
      <c r="V5" s="455">
        <f>'Sales and cost of sales'!U10</f>
        <v>442417.89698420267</v>
      </c>
      <c r="W5" s="455">
        <f>'Sales and cost of sales'!V10</f>
        <v>486659.686682623</v>
      </c>
      <c r="X5" s="455">
        <f>'Sales and cost of sales'!W10</f>
        <v>535325.6553508854</v>
      </c>
      <c r="Y5" s="455">
        <f>'Sales and cost of sales'!X10</f>
        <v>588858.2208859739</v>
      </c>
      <c r="Z5" s="455">
        <f>'Sales and cost of sales'!Y10</f>
        <v>647744.0429745713</v>
      </c>
      <c r="AA5" s="455">
        <f>'Sales and cost of sales'!Z10</f>
        <v>654221.4834043172</v>
      </c>
      <c r="AB5" s="455">
        <f>'Sales and cost of sales'!AA10</f>
        <v>660763.6982383603</v>
      </c>
      <c r="AC5" s="455">
        <f>'Sales and cost of sales'!AB10</f>
        <v>667371.335220744</v>
      </c>
      <c r="AD5" s="455">
        <f>'Sales and cost of sales'!AC10</f>
        <v>674045.0485729515</v>
      </c>
      <c r="AE5" s="455">
        <f>'Sales and cost of sales'!AD10</f>
        <v>680785.499058681</v>
      </c>
      <c r="AF5" s="455">
        <f>'Sales and cost of sales'!AE10</f>
        <v>687593.3540492678</v>
      </c>
      <c r="AG5" s="455">
        <f>'Sales and cost of sales'!AF10</f>
        <v>694469.2875897604</v>
      </c>
      <c r="AH5" s="455">
        <f>'Sales and cost of sales'!AG10</f>
        <v>701413.9804656581</v>
      </c>
      <c r="AI5" s="455">
        <f>'Sales and cost of sales'!AH10</f>
        <v>708428.1202703146</v>
      </c>
      <c r="AJ5" s="455">
        <f>'Sales and cost of sales'!AI10</f>
        <v>715512.4014730178</v>
      </c>
      <c r="AK5" s="455">
        <f>'Sales and cost of sales'!AJ10</f>
        <v>722667.525487748</v>
      </c>
      <c r="AL5" s="455">
        <f>'Sales and cost of sales'!AK10</f>
        <v>729894.2007426254</v>
      </c>
      <c r="AM5" s="254"/>
      <c r="AN5" s="325">
        <f>SUM(C5:N5)</f>
        <v>1071680.6178133334</v>
      </c>
      <c r="AO5" s="326">
        <f aca="true" t="shared" si="0" ref="AO5:AO22">SUM(O5:Z5)</f>
        <v>4854881.117840282</v>
      </c>
      <c r="AP5" s="327">
        <f>SUM(AA5:AL5)</f>
        <v>8297165.9345734455</v>
      </c>
      <c r="AQ5" s="37"/>
    </row>
    <row r="6" spans="1:43" ht="15" customHeight="1">
      <c r="A6" s="53"/>
      <c r="B6" s="365" t="s">
        <v>193</v>
      </c>
      <c r="C6" s="385">
        <f>'Sales and cost of sales'!B15</f>
        <v>20000</v>
      </c>
      <c r="D6" s="385">
        <f>'Sales and cost of sales'!C15</f>
        <v>20000</v>
      </c>
      <c r="E6" s="385">
        <f>'Sales and cost of sales'!D15</f>
        <v>20000</v>
      </c>
      <c r="F6" s="385">
        <f>'Sales and cost of sales'!E15</f>
        <v>20000</v>
      </c>
      <c r="G6" s="385">
        <f>'Sales and cost of sales'!F15</f>
        <v>20000</v>
      </c>
      <c r="H6" s="385">
        <f>'Sales and cost of sales'!G15</f>
        <v>20000</v>
      </c>
      <c r="I6" s="385">
        <f>'Sales and cost of sales'!H15</f>
        <v>25000</v>
      </c>
      <c r="J6" s="385">
        <f>'Sales and cost of sales'!I15</f>
        <v>25000</v>
      </c>
      <c r="K6" s="385">
        <f>'Sales and cost of sales'!J15</f>
        <v>25000</v>
      </c>
      <c r="L6" s="385">
        <f>'Sales and cost of sales'!K15</f>
        <v>25000</v>
      </c>
      <c r="M6" s="385">
        <f>'Sales and cost of sales'!L15</f>
        <v>25000</v>
      </c>
      <c r="N6" s="385">
        <f>'Sales and cost of sales'!M15</f>
        <v>25000</v>
      </c>
      <c r="O6" s="385">
        <f>'Sales and cost of sales'!N15</f>
        <v>27500</v>
      </c>
      <c r="P6" s="385">
        <f>'Sales and cost of sales'!O15</f>
        <v>30250</v>
      </c>
      <c r="Q6" s="385">
        <f>'Sales and cost of sales'!P15</f>
        <v>33275</v>
      </c>
      <c r="R6" s="385">
        <f>'Sales and cost of sales'!Q15</f>
        <v>36602.5</v>
      </c>
      <c r="S6" s="385">
        <f>'Sales and cost of sales'!R15</f>
        <v>40262.75000000001</v>
      </c>
      <c r="T6" s="456">
        <f>'Sales and cost of sales'!S15</f>
        <v>44289.02500000001</v>
      </c>
      <c r="U6" s="456">
        <f>'Sales and cost of sales'!T15</f>
        <v>48717.92750000001</v>
      </c>
      <c r="V6" s="456">
        <f>'Sales and cost of sales'!U15</f>
        <v>53589.72025000001</v>
      </c>
      <c r="W6" s="456">
        <f>'Sales and cost of sales'!V15</f>
        <v>58948.692275000016</v>
      </c>
      <c r="X6" s="456">
        <f>'Sales and cost of sales'!W15</f>
        <v>64843.56150250003</v>
      </c>
      <c r="Y6" s="456">
        <f>'Sales and cost of sales'!X15</f>
        <v>71327.91765275004</v>
      </c>
      <c r="Z6" s="456">
        <f>'Sales and cost of sales'!Y15</f>
        <v>78460.70941802504</v>
      </c>
      <c r="AA6" s="456">
        <f>'Sales and cost of sales'!Z15</f>
        <v>79245.31651220529</v>
      </c>
      <c r="AB6" s="456">
        <f>'Sales and cost of sales'!AA15</f>
        <v>80037.76967732735</v>
      </c>
      <c r="AC6" s="456">
        <f>'Sales and cost of sales'!AB15</f>
        <v>80838.14737410062</v>
      </c>
      <c r="AD6" s="456">
        <f>'Sales and cost of sales'!AC15</f>
        <v>81646.52884784162</v>
      </c>
      <c r="AE6" s="456">
        <f>'Sales and cost of sales'!AD15</f>
        <v>82462.99413632002</v>
      </c>
      <c r="AF6" s="456">
        <f>'Sales and cost of sales'!AE15</f>
        <v>83287.62407768323</v>
      </c>
      <c r="AG6" s="456">
        <f>'Sales and cost of sales'!AF15</f>
        <v>84120.50031846008</v>
      </c>
      <c r="AH6" s="456">
        <f>'Sales and cost of sales'!AG15</f>
        <v>84961.70532164467</v>
      </c>
      <c r="AI6" s="456">
        <f>'Sales and cost of sales'!AH15</f>
        <v>85811.3223748611</v>
      </c>
      <c r="AJ6" s="456">
        <f>'Sales and cost of sales'!AI15</f>
        <v>86669.43559860972</v>
      </c>
      <c r="AK6" s="456">
        <f>'Sales and cost of sales'!AJ15</f>
        <v>87536.12995459582</v>
      </c>
      <c r="AL6" s="456">
        <f>'Sales and cost of sales'!AK15</f>
        <v>88411.49125414179</v>
      </c>
      <c r="AM6" s="254"/>
      <c r="AN6" s="325">
        <f>SUM(C6:N6)</f>
        <v>270000</v>
      </c>
      <c r="AO6" s="326">
        <f>SUM(O6:Z6)</f>
        <v>588067.8035982752</v>
      </c>
      <c r="AP6" s="327">
        <f>SUM(AA6:AL6)</f>
        <v>1005028.9654477913</v>
      </c>
      <c r="AQ6" s="37"/>
    </row>
    <row r="7" spans="1:43" ht="15" customHeight="1">
      <c r="A7" s="53"/>
      <c r="B7" s="365" t="s">
        <v>205</v>
      </c>
      <c r="C7" s="385"/>
      <c r="D7" s="385">
        <f>'Sales and cost of sales'!B18</f>
        <v>0</v>
      </c>
      <c r="E7" s="385">
        <f>'Sales and cost of sales'!C18</f>
        <v>0</v>
      </c>
      <c r="F7" s="385">
        <f>'Sales and cost of sales'!D18</f>
        <v>0</v>
      </c>
      <c r="G7" s="385">
        <f>'Sales and cost of sales'!E18</f>
        <v>0</v>
      </c>
      <c r="H7" s="385">
        <f>'Sales and cost of sales'!F18</f>
        <v>0</v>
      </c>
      <c r="I7" s="385">
        <f>'Sales and cost of sales'!G18</f>
        <v>0</v>
      </c>
      <c r="J7" s="385">
        <f>'Sales and cost of sales'!H18</f>
        <v>0</v>
      </c>
      <c r="K7" s="385">
        <f>'Sales and cost of sales'!I18</f>
        <v>0</v>
      </c>
      <c r="L7" s="385">
        <f>'Sales and cost of sales'!J18</f>
        <v>0</v>
      </c>
      <c r="M7" s="385">
        <f>'Sales and cost of sales'!K18</f>
        <v>0</v>
      </c>
      <c r="N7" s="385">
        <f>'Sales and cost of sales'!L18</f>
        <v>0</v>
      </c>
      <c r="O7" s="385">
        <v>100000</v>
      </c>
      <c r="P7" s="385">
        <f>'Sales and cost of sales'!N18</f>
        <v>100000</v>
      </c>
      <c r="Q7" s="385">
        <f>'Sales and cost of sales'!O18</f>
        <v>100000</v>
      </c>
      <c r="R7" s="385">
        <f>'Sales and cost of sales'!P18</f>
        <v>100000</v>
      </c>
      <c r="S7" s="385">
        <f>'Sales and cost of sales'!Q18</f>
        <v>100000</v>
      </c>
      <c r="T7" s="456">
        <f>'Sales and cost of sales'!R18</f>
        <v>100000</v>
      </c>
      <c r="U7" s="456">
        <f>'Sales and cost of sales'!S18</f>
        <v>100000</v>
      </c>
      <c r="V7" s="456">
        <f>'Sales and cost of sales'!T18</f>
        <v>100000</v>
      </c>
      <c r="W7" s="456">
        <f>'Sales and cost of sales'!U18</f>
        <v>100000</v>
      </c>
      <c r="X7" s="456">
        <f>'Sales and cost of sales'!V18</f>
        <v>100000</v>
      </c>
      <c r="Y7" s="456">
        <f>'Sales and cost of sales'!W18</f>
        <v>100000</v>
      </c>
      <c r="Z7" s="456">
        <f>'Sales and cost of sales'!X18</f>
        <v>100000</v>
      </c>
      <c r="AA7" s="456">
        <f>'Sales and cost of sales'!Y18</f>
        <v>100000</v>
      </c>
      <c r="AB7" s="456">
        <f>'Sales and cost of sales'!Z18</f>
        <v>100000</v>
      </c>
      <c r="AC7" s="456">
        <f>'Sales and cost of sales'!AA18</f>
        <v>100000</v>
      </c>
      <c r="AD7" s="456">
        <f>'Sales and cost of sales'!AB18</f>
        <v>100000</v>
      </c>
      <c r="AE7" s="456">
        <f>'Sales and cost of sales'!AC18</f>
        <v>100000</v>
      </c>
      <c r="AF7" s="456">
        <f>'Sales and cost of sales'!AD18</f>
        <v>100000</v>
      </c>
      <c r="AG7" s="456">
        <f>'Sales and cost of sales'!AE18</f>
        <v>100000</v>
      </c>
      <c r="AH7" s="456">
        <f>'Sales and cost of sales'!AF18</f>
        <v>100000</v>
      </c>
      <c r="AI7" s="456">
        <f>'Sales and cost of sales'!AG18</f>
        <v>100000</v>
      </c>
      <c r="AJ7" s="456">
        <f>'Sales and cost of sales'!AH18</f>
        <v>100000</v>
      </c>
      <c r="AK7" s="456">
        <f>'Sales and cost of sales'!AI18</f>
        <v>100000</v>
      </c>
      <c r="AL7" s="456">
        <f>'Sales and cost of sales'!AJ18</f>
        <v>100000</v>
      </c>
      <c r="AM7" s="254"/>
      <c r="AN7" s="325">
        <f>SUM(C7:N7)</f>
        <v>0</v>
      </c>
      <c r="AO7" s="326">
        <f>SUM(O7:Z7)</f>
        <v>1200000</v>
      </c>
      <c r="AP7" s="327">
        <f>SUM(AA7:AL7)</f>
        <v>1200000</v>
      </c>
      <c r="AQ7" s="37"/>
    </row>
    <row r="8" spans="1:43" ht="15" customHeight="1">
      <c r="A8" s="38"/>
      <c r="B8" s="48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  <c r="O8" s="244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3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3"/>
      <c r="AL8" s="243"/>
      <c r="AM8" s="255"/>
      <c r="AN8" s="325"/>
      <c r="AO8" s="326">
        <f t="shared" si="0"/>
        <v>0</v>
      </c>
      <c r="AP8" s="327"/>
      <c r="AQ8" s="265"/>
    </row>
    <row r="9" spans="1:43" ht="15" customHeight="1">
      <c r="A9" s="51" t="s">
        <v>13</v>
      </c>
      <c r="B9" s="52"/>
      <c r="C9" s="357">
        <f aca="true" t="shared" si="1" ref="C9:AL9">SUM(C5:C8)</f>
        <v>33333.333333333336</v>
      </c>
      <c r="D9" s="357">
        <f t="shared" si="1"/>
        <v>40000</v>
      </c>
      <c r="E9" s="357">
        <f t="shared" si="1"/>
        <v>60000</v>
      </c>
      <c r="F9" s="357">
        <f t="shared" si="1"/>
        <v>68000</v>
      </c>
      <c r="G9" s="357">
        <f t="shared" si="1"/>
        <v>77600</v>
      </c>
      <c r="H9" s="357">
        <f t="shared" si="1"/>
        <v>89120</v>
      </c>
      <c r="I9" s="357">
        <f t="shared" si="1"/>
        <v>107944</v>
      </c>
      <c r="J9" s="357">
        <f t="shared" si="1"/>
        <v>124532.8</v>
      </c>
      <c r="K9" s="357">
        <f t="shared" si="1"/>
        <v>144439.36</v>
      </c>
      <c r="L9" s="357">
        <f t="shared" si="1"/>
        <v>168327.232</v>
      </c>
      <c r="M9" s="357">
        <f t="shared" si="1"/>
        <v>196992.67839999998</v>
      </c>
      <c r="N9" s="357">
        <f t="shared" si="1"/>
        <v>231391.21407999998</v>
      </c>
      <c r="O9" s="357">
        <f t="shared" si="1"/>
        <v>354530.33548799995</v>
      </c>
      <c r="P9" s="357">
        <f t="shared" si="1"/>
        <v>379983.3690368</v>
      </c>
      <c r="Q9" s="357">
        <f t="shared" si="1"/>
        <v>407981.70594048005</v>
      </c>
      <c r="R9" s="357">
        <f t="shared" si="1"/>
        <v>438779.8765345281</v>
      </c>
      <c r="S9" s="357">
        <f t="shared" si="1"/>
        <v>472657.8641879809</v>
      </c>
      <c r="T9" s="455">
        <f t="shared" si="1"/>
        <v>509923.65060677903</v>
      </c>
      <c r="U9" s="455">
        <f t="shared" si="1"/>
        <v>550916.0156674569</v>
      </c>
      <c r="V9" s="455">
        <f t="shared" si="1"/>
        <v>596007.6172342027</v>
      </c>
      <c r="W9" s="455">
        <f t="shared" si="1"/>
        <v>645608.378957623</v>
      </c>
      <c r="X9" s="455">
        <f t="shared" si="1"/>
        <v>700169.2168533853</v>
      </c>
      <c r="Y9" s="455">
        <f t="shared" si="1"/>
        <v>760186.1385387239</v>
      </c>
      <c r="Z9" s="455">
        <f t="shared" si="1"/>
        <v>826204.7523925963</v>
      </c>
      <c r="AA9" s="455">
        <f t="shared" si="1"/>
        <v>833466.7999165225</v>
      </c>
      <c r="AB9" s="455">
        <f t="shared" si="1"/>
        <v>840801.4679156877</v>
      </c>
      <c r="AC9" s="455">
        <f t="shared" si="1"/>
        <v>848209.4825948447</v>
      </c>
      <c r="AD9" s="455">
        <f t="shared" si="1"/>
        <v>855691.5774207931</v>
      </c>
      <c r="AE9" s="455">
        <f t="shared" si="1"/>
        <v>863248.493195001</v>
      </c>
      <c r="AF9" s="455">
        <f t="shared" si="1"/>
        <v>870880.978126951</v>
      </c>
      <c r="AG9" s="455">
        <f t="shared" si="1"/>
        <v>878589.7879082204</v>
      </c>
      <c r="AH9" s="455">
        <f t="shared" si="1"/>
        <v>886375.6857873028</v>
      </c>
      <c r="AI9" s="455">
        <f t="shared" si="1"/>
        <v>894239.4426451757</v>
      </c>
      <c r="AJ9" s="455">
        <f t="shared" si="1"/>
        <v>902181.8370716275</v>
      </c>
      <c r="AK9" s="455">
        <f t="shared" si="1"/>
        <v>910203.6554423438</v>
      </c>
      <c r="AL9" s="455">
        <f t="shared" si="1"/>
        <v>918305.6919967672</v>
      </c>
      <c r="AM9" s="254"/>
      <c r="AN9" s="325">
        <f>SUM(C9:N9)</f>
        <v>1341680.6178133334</v>
      </c>
      <c r="AO9" s="326">
        <f t="shared" si="0"/>
        <v>6642948.921438557</v>
      </c>
      <c r="AP9" s="327">
        <f>SUM(AA9:AL9)</f>
        <v>10502194.900021236</v>
      </c>
      <c r="AQ9" s="270"/>
    </row>
    <row r="10" spans="1:43" s="236" customFormat="1" ht="15" customHeight="1">
      <c r="A10" s="387"/>
      <c r="B10" s="388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389"/>
      <c r="AO10" s="390"/>
      <c r="AP10" s="391"/>
      <c r="AQ10" s="392"/>
    </row>
    <row r="11" spans="1:43" s="236" customFormat="1" ht="15" customHeight="1">
      <c r="A11" s="51" t="s">
        <v>207</v>
      </c>
      <c r="B11" s="52"/>
      <c r="C11" s="254">
        <f>-'Sales and cost of sales'!B30</f>
        <v>-26775.52</v>
      </c>
      <c r="D11" s="254">
        <f>-'Sales and cost of sales'!C30</f>
        <v>-31526.14</v>
      </c>
      <c r="E11" s="254">
        <f>-'Sales and cost of sales'!D30</f>
        <v>-45777.06</v>
      </c>
      <c r="F11" s="254">
        <f>-'Sales and cost of sales'!E30</f>
        <v>-51478.1</v>
      </c>
      <c r="G11" s="254">
        <f>-'Sales and cost of sales'!F30</f>
        <v>-58319.284</v>
      </c>
      <c r="H11" s="254">
        <f>-'Sales and cost of sales'!G30</f>
        <v>-66528.6408</v>
      </c>
      <c r="I11" s="254">
        <f>-'Sales and cost of sales'!H30</f>
        <v>-81179.88496</v>
      </c>
      <c r="J11" s="254">
        <f>-'Sales and cost of sales'!I30</f>
        <v>-93001.297952</v>
      </c>
      <c r="K11" s="254">
        <f>-'Sales and cost of sales'!J30</f>
        <v>-107186.91354239998</v>
      </c>
      <c r="L11" s="254">
        <f>-'Sales and cost of sales'!K30</f>
        <v>-124209.57225087998</v>
      </c>
      <c r="M11" s="254">
        <f>-'Sales and cost of sales'!L30</f>
        <v>-144636.68270105598</v>
      </c>
      <c r="N11" s="254">
        <f>-'Sales and cost of sales'!M30</f>
        <v>-169149.13524126718</v>
      </c>
      <c r="O11" s="254">
        <f>-'Sales and cost of sales'!N30</f>
        <v>-186758.3546994995</v>
      </c>
      <c r="P11" s="254">
        <f>-'Sales and cost of sales'!O30</f>
        <v>-205028.49610355505</v>
      </c>
      <c r="Q11" s="254">
        <f>-'Sales and cost of sales'!P30</f>
        <v>-225125.65164801618</v>
      </c>
      <c r="R11" s="254">
        <f>-'Sales and cost of sales'!Q30</f>
        <v>-247232.52274692344</v>
      </c>
      <c r="S11" s="254">
        <f>-'Sales and cost of sales'!R30</f>
        <v>-271550.0809557213</v>
      </c>
      <c r="T11" s="457">
        <f>-'Sales and cost of sales'!S30</f>
        <v>-298299.3949853992</v>
      </c>
      <c r="U11" s="457">
        <f>-'Sales and cost of sales'!T30</f>
        <v>-328723.64041804464</v>
      </c>
      <c r="V11" s="457">
        <f>-'Sales and cost of sales'!U30</f>
        <v>-361090.31039395474</v>
      </c>
      <c r="W11" s="457">
        <f>-'Sales and cost of sales'!V30</f>
        <v>-396693.64736745594</v>
      </c>
      <c r="X11" s="457">
        <f>-'Sales and cost of sales'!W30</f>
        <v>-435857.31803830713</v>
      </c>
      <c r="Y11" s="457">
        <f>-'Sales and cost of sales'!X30</f>
        <v>-478937.3557762435</v>
      </c>
      <c r="Z11" s="457">
        <f>-'Sales and cost of sales'!Y30</f>
        <v>-526325.3972879736</v>
      </c>
      <c r="AA11" s="457">
        <f>-'Sales and cost of sales'!Z30</f>
        <v>-532547.9562330595</v>
      </c>
      <c r="AB11" s="457">
        <f>-'Sales and cost of sales'!AA30</f>
        <v>-537822.7407675965</v>
      </c>
      <c r="AC11" s="457">
        <f>-'Sales and cost of sales'!AB30</f>
        <v>-543150.2731474788</v>
      </c>
      <c r="AD11" s="457">
        <f>-'Sales and cost of sales'!AC30</f>
        <v>-548531.0808511601</v>
      </c>
      <c r="AE11" s="457">
        <f>-'Sales and cost of sales'!AD30</f>
        <v>-553965.696631878</v>
      </c>
      <c r="AF11" s="457">
        <f>-'Sales and cost of sales'!AE30</f>
        <v>-559454.6585704031</v>
      </c>
      <c r="AG11" s="457">
        <f>-'Sales and cost of sales'!AF30</f>
        <v>-565998.5101283133</v>
      </c>
      <c r="AH11" s="457">
        <f>-'Sales and cost of sales'!AG30</f>
        <v>-571597.800201803</v>
      </c>
      <c r="AI11" s="457">
        <f>-'Sales and cost of sales'!AH30</f>
        <v>-577253.0831760273</v>
      </c>
      <c r="AJ11" s="457">
        <f>-'Sales and cost of sales'!AI30</f>
        <v>-582964.9189799939</v>
      </c>
      <c r="AK11" s="457">
        <f>-'Sales and cost of sales'!AJ30</f>
        <v>-588733.8731420002</v>
      </c>
      <c r="AL11" s="457">
        <f>-'Sales and cost of sales'!AK30</f>
        <v>-594560.5168456264</v>
      </c>
      <c r="AM11" s="254"/>
      <c r="AN11" s="325">
        <f>SUM(C11:N11)</f>
        <v>-999768.2314476031</v>
      </c>
      <c r="AO11" s="326">
        <f>SUM(O11:Z11)</f>
        <v>-3961622.170421094</v>
      </c>
      <c r="AP11" s="327">
        <f>SUM(AA11:AL11)</f>
        <v>-6756581.10867534</v>
      </c>
      <c r="AQ11" s="392"/>
    </row>
    <row r="12" spans="1:43" s="236" customFormat="1" ht="15" customHeight="1">
      <c r="A12" s="51" t="s">
        <v>208</v>
      </c>
      <c r="B12" s="52"/>
      <c r="C12" s="254">
        <f>C9+C11</f>
        <v>6557.813333333335</v>
      </c>
      <c r="D12" s="254">
        <f aca="true" t="shared" si="2" ref="D12:AL12">D9+D11</f>
        <v>8473.86</v>
      </c>
      <c r="E12" s="254">
        <f t="shared" si="2"/>
        <v>14222.940000000002</v>
      </c>
      <c r="F12" s="254">
        <f t="shared" si="2"/>
        <v>16521.9</v>
      </c>
      <c r="G12" s="254">
        <f t="shared" si="2"/>
        <v>19280.716</v>
      </c>
      <c r="H12" s="254">
        <f t="shared" si="2"/>
        <v>22591.359200000006</v>
      </c>
      <c r="I12" s="254">
        <f t="shared" si="2"/>
        <v>26764.115040000004</v>
      </c>
      <c r="J12" s="254">
        <f t="shared" si="2"/>
        <v>31531.50204800001</v>
      </c>
      <c r="K12" s="254">
        <f t="shared" si="2"/>
        <v>37252.4464576</v>
      </c>
      <c r="L12" s="254">
        <f t="shared" si="2"/>
        <v>44117.65974912001</v>
      </c>
      <c r="M12" s="254">
        <f t="shared" si="2"/>
        <v>52355.995698943996</v>
      </c>
      <c r="N12" s="254">
        <f t="shared" si="2"/>
        <v>62242.07883873279</v>
      </c>
      <c r="O12" s="254">
        <f t="shared" si="2"/>
        <v>167771.98078850046</v>
      </c>
      <c r="P12" s="254">
        <f t="shared" si="2"/>
        <v>174954.87293324494</v>
      </c>
      <c r="Q12" s="254">
        <f t="shared" si="2"/>
        <v>182856.05429246387</v>
      </c>
      <c r="R12" s="254">
        <f t="shared" si="2"/>
        <v>191547.35378760466</v>
      </c>
      <c r="S12" s="254">
        <f t="shared" si="2"/>
        <v>201107.78323225956</v>
      </c>
      <c r="T12" s="457">
        <f t="shared" si="2"/>
        <v>211624.25562137982</v>
      </c>
      <c r="U12" s="457">
        <f t="shared" si="2"/>
        <v>222192.37524941226</v>
      </c>
      <c r="V12" s="457">
        <f t="shared" si="2"/>
        <v>234917.30684024794</v>
      </c>
      <c r="W12" s="457">
        <f t="shared" si="2"/>
        <v>248914.7315901671</v>
      </c>
      <c r="X12" s="457">
        <f t="shared" si="2"/>
        <v>264311.8988150782</v>
      </c>
      <c r="Y12" s="457">
        <f t="shared" si="2"/>
        <v>281248.78276248043</v>
      </c>
      <c r="Z12" s="457">
        <f t="shared" si="2"/>
        <v>299879.3551046228</v>
      </c>
      <c r="AA12" s="457">
        <f t="shared" si="2"/>
        <v>300918.84368346294</v>
      </c>
      <c r="AB12" s="457">
        <f t="shared" si="2"/>
        <v>302978.7271480912</v>
      </c>
      <c r="AC12" s="457">
        <f t="shared" si="2"/>
        <v>305059.20944736584</v>
      </c>
      <c r="AD12" s="457">
        <f t="shared" si="2"/>
        <v>307160.496569633</v>
      </c>
      <c r="AE12" s="457">
        <f t="shared" si="2"/>
        <v>309282.796563123</v>
      </c>
      <c r="AF12" s="457">
        <f t="shared" si="2"/>
        <v>311426.3195565479</v>
      </c>
      <c r="AG12" s="457">
        <f t="shared" si="2"/>
        <v>312591.2777799071</v>
      </c>
      <c r="AH12" s="457">
        <f t="shared" si="2"/>
        <v>314777.8855854998</v>
      </c>
      <c r="AI12" s="457">
        <f t="shared" si="2"/>
        <v>316986.35946914845</v>
      </c>
      <c r="AJ12" s="457">
        <f t="shared" si="2"/>
        <v>319216.9180916336</v>
      </c>
      <c r="AK12" s="457">
        <f t="shared" si="2"/>
        <v>321469.7823003436</v>
      </c>
      <c r="AL12" s="457">
        <f t="shared" si="2"/>
        <v>323745.1751511408</v>
      </c>
      <c r="AM12" s="254"/>
      <c r="AN12" s="325">
        <f>SUM(C12:N12)</f>
        <v>341912.3863657302</v>
      </c>
      <c r="AO12" s="326">
        <f>SUM(O12:Z12)</f>
        <v>2681326.7510174625</v>
      </c>
      <c r="AP12" s="327">
        <f>SUM(AA12:AL12)</f>
        <v>3745613.7913458976</v>
      </c>
      <c r="AQ12" s="392"/>
    </row>
    <row r="13" spans="1:43" ht="15" customHeight="1">
      <c r="A13" s="53"/>
      <c r="B13" s="53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59"/>
      <c r="AN13" s="325"/>
      <c r="AO13" s="326">
        <f t="shared" si="0"/>
        <v>0</v>
      </c>
      <c r="AP13" s="327"/>
      <c r="AQ13" s="37"/>
    </row>
    <row r="14" spans="1:43" ht="15" customHeight="1">
      <c r="A14" s="40" t="s">
        <v>14</v>
      </c>
      <c r="B14" s="41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56"/>
      <c r="AN14" s="325"/>
      <c r="AO14" s="326">
        <f t="shared" si="0"/>
        <v>0</v>
      </c>
      <c r="AP14" s="327"/>
      <c r="AQ14" s="37"/>
    </row>
    <row r="15" spans="1:43" ht="15" customHeight="1">
      <c r="A15" s="45"/>
      <c r="B15" s="54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55"/>
      <c r="AN15" s="325"/>
      <c r="AO15" s="326">
        <f t="shared" si="0"/>
        <v>0</v>
      </c>
      <c r="AP15" s="327"/>
      <c r="AQ15" s="37"/>
    </row>
    <row r="16" spans="1:43" ht="15" customHeight="1">
      <c r="A16" s="30"/>
      <c r="B16" s="55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55"/>
      <c r="AN16" s="325"/>
      <c r="AO16" s="326">
        <f t="shared" si="0"/>
        <v>0</v>
      </c>
      <c r="AP16" s="327"/>
      <c r="AQ16" s="37"/>
    </row>
    <row r="17" spans="1:43" ht="15" customHeight="1">
      <c r="A17" s="30"/>
      <c r="B17" s="237" t="s">
        <v>14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55"/>
      <c r="AN17" s="325"/>
      <c r="AO17" s="326">
        <f t="shared" si="0"/>
        <v>0</v>
      </c>
      <c r="AP17" s="327"/>
      <c r="AQ17" s="37"/>
    </row>
    <row r="18" spans="1:43" ht="15" customHeight="1">
      <c r="A18" s="30"/>
      <c r="B18" s="30" t="s">
        <v>209</v>
      </c>
      <c r="C18" s="464">
        <v>0</v>
      </c>
      <c r="D18" s="458">
        <v>0</v>
      </c>
      <c r="E18" s="458">
        <v>0</v>
      </c>
      <c r="F18" s="458">
        <v>-93980</v>
      </c>
      <c r="G18" s="458">
        <v>-93980</v>
      </c>
      <c r="H18" s="458">
        <v>-93980</v>
      </c>
      <c r="I18" s="458">
        <v>-106355</v>
      </c>
      <c r="J18" s="458">
        <v>-125730</v>
      </c>
      <c r="K18" s="458">
        <v>-125730</v>
      </c>
      <c r="L18" s="458">
        <v>-148855</v>
      </c>
      <c r="M18" s="458">
        <v>-148855</v>
      </c>
      <c r="N18" s="458">
        <v>-148855</v>
      </c>
      <c r="O18" s="458">
        <v>-148855</v>
      </c>
      <c r="P18" s="458">
        <v>-148855</v>
      </c>
      <c r="Q18" s="458">
        <v>-171980</v>
      </c>
      <c r="R18" s="458">
        <v>-171980</v>
      </c>
      <c r="S18" s="458">
        <v>-171980</v>
      </c>
      <c r="T18" s="458">
        <v>-171980</v>
      </c>
      <c r="U18" s="458">
        <v>-171980</v>
      </c>
      <c r="V18" s="458">
        <v>-171980</v>
      </c>
      <c r="W18" s="458">
        <v>-171980</v>
      </c>
      <c r="X18" s="458">
        <v>-188480</v>
      </c>
      <c r="Y18" s="458">
        <v>-188480</v>
      </c>
      <c r="Z18" s="458">
        <v>-188480</v>
      </c>
      <c r="AA18" s="458">
        <v>-192249.6</v>
      </c>
      <c r="AB18" s="458">
        <v>-192249.6</v>
      </c>
      <c r="AC18" s="458">
        <v>-192249.6</v>
      </c>
      <c r="AD18" s="458">
        <v>-192249.6</v>
      </c>
      <c r="AE18" s="458">
        <v>-192249.6</v>
      </c>
      <c r="AF18" s="458">
        <v>-192249.6</v>
      </c>
      <c r="AG18" s="458">
        <v>-192249.6</v>
      </c>
      <c r="AH18" s="458">
        <v>-192249.6</v>
      </c>
      <c r="AI18" s="458">
        <v>-192249.6</v>
      </c>
      <c r="AJ18" s="458">
        <v>-192249.6</v>
      </c>
      <c r="AK18" s="458">
        <v>-192249.6</v>
      </c>
      <c r="AL18" s="458">
        <v>-192249.6</v>
      </c>
      <c r="AM18" s="255"/>
      <c r="AN18" s="325">
        <f aca="true" t="shared" si="3" ref="AN18:AN47">SUM(C18:N18)</f>
        <v>-1086320</v>
      </c>
      <c r="AO18" s="326">
        <f t="shared" si="0"/>
        <v>-2067010</v>
      </c>
      <c r="AP18" s="327">
        <f aca="true" t="shared" si="4" ref="AP18:AP47">SUM(AA18:AL18)</f>
        <v>-2306995.2000000007</v>
      </c>
      <c r="AQ18" s="37"/>
    </row>
    <row r="19" spans="1:43" ht="15" customHeight="1">
      <c r="A19" s="192"/>
      <c r="B19" s="30" t="s">
        <v>210</v>
      </c>
      <c r="C19" s="464">
        <v>-8600</v>
      </c>
      <c r="D19" s="458">
        <v>-2000</v>
      </c>
      <c r="E19" s="458">
        <v>-2000</v>
      </c>
      <c r="F19" s="458">
        <v>-2000</v>
      </c>
      <c r="G19" s="458">
        <v>-2000</v>
      </c>
      <c r="H19" s="458">
        <v>-2000</v>
      </c>
      <c r="I19" s="458">
        <v>-2000</v>
      </c>
      <c r="J19" s="458">
        <v>-2000</v>
      </c>
      <c r="K19" s="458">
        <v>-2000</v>
      </c>
      <c r="L19" s="458">
        <v>-2000</v>
      </c>
      <c r="M19" s="458">
        <v>-2000</v>
      </c>
      <c r="N19" s="458">
        <v>-2000</v>
      </c>
      <c r="O19" s="458">
        <v>-2000</v>
      </c>
      <c r="P19" s="458">
        <v>-2000</v>
      </c>
      <c r="Q19" s="458">
        <v>-2000</v>
      </c>
      <c r="R19" s="458">
        <v>-2000</v>
      </c>
      <c r="S19" s="458">
        <v>-2000</v>
      </c>
      <c r="T19" s="458">
        <v>-2000</v>
      </c>
      <c r="U19" s="458">
        <v>-2000</v>
      </c>
      <c r="V19" s="458">
        <v>-2000</v>
      </c>
      <c r="W19" s="458">
        <v>-2000</v>
      </c>
      <c r="X19" s="458">
        <v>-2000</v>
      </c>
      <c r="Y19" s="458">
        <v>-2000</v>
      </c>
      <c r="Z19" s="458">
        <v>-2000</v>
      </c>
      <c r="AA19" s="458">
        <v>-2000</v>
      </c>
      <c r="AB19" s="458">
        <v>-2000</v>
      </c>
      <c r="AC19" s="458">
        <v>-2000</v>
      </c>
      <c r="AD19" s="458">
        <v>-2000</v>
      </c>
      <c r="AE19" s="458">
        <v>-2000</v>
      </c>
      <c r="AF19" s="458">
        <v>-2000</v>
      </c>
      <c r="AG19" s="458">
        <v>-2000</v>
      </c>
      <c r="AH19" s="458">
        <v>-2000</v>
      </c>
      <c r="AI19" s="458">
        <v>-2000</v>
      </c>
      <c r="AJ19" s="458">
        <v>-2000</v>
      </c>
      <c r="AK19" s="458">
        <v>-2000</v>
      </c>
      <c r="AL19" s="458">
        <v>-2000</v>
      </c>
      <c r="AM19" s="255"/>
      <c r="AN19" s="325">
        <f t="shared" si="3"/>
        <v>-30600</v>
      </c>
      <c r="AO19" s="326">
        <f t="shared" si="0"/>
        <v>-24000</v>
      </c>
      <c r="AP19" s="327">
        <f t="shared" si="4"/>
        <v>-24000</v>
      </c>
      <c r="AQ19" s="37"/>
    </row>
    <row r="20" spans="1:43" ht="15" customHeight="1">
      <c r="A20" s="192"/>
      <c r="B20" s="30" t="s">
        <v>211</v>
      </c>
      <c r="C20" s="464">
        <v>-35000</v>
      </c>
      <c r="D20" s="458">
        <v>-35000</v>
      </c>
      <c r="E20" s="458">
        <v>-35000</v>
      </c>
      <c r="F20" s="458">
        <v>-35000</v>
      </c>
      <c r="G20" s="458">
        <v>-35000</v>
      </c>
      <c r="H20" s="458">
        <v>-35000</v>
      </c>
      <c r="I20" s="458">
        <v>-35000</v>
      </c>
      <c r="J20" s="458">
        <v>-35000</v>
      </c>
      <c r="K20" s="458">
        <v>-35000</v>
      </c>
      <c r="L20" s="458">
        <v>-35000</v>
      </c>
      <c r="M20" s="458">
        <v>-35000</v>
      </c>
      <c r="N20" s="458">
        <v>-35000</v>
      </c>
      <c r="O20" s="458">
        <v>-35000</v>
      </c>
      <c r="P20" s="458">
        <v>-35000</v>
      </c>
      <c r="Q20" s="458">
        <v>-35000</v>
      </c>
      <c r="R20" s="458">
        <v>-35000</v>
      </c>
      <c r="S20" s="458">
        <v>-35000</v>
      </c>
      <c r="T20" s="458">
        <v>-35000</v>
      </c>
      <c r="U20" s="458">
        <v>-35000</v>
      </c>
      <c r="V20" s="458">
        <v>-35000</v>
      </c>
      <c r="W20" s="458">
        <v>-35000</v>
      </c>
      <c r="X20" s="458">
        <v>-35000</v>
      </c>
      <c r="Y20" s="458">
        <v>-35000</v>
      </c>
      <c r="Z20" s="458">
        <v>-35000</v>
      </c>
      <c r="AA20" s="458">
        <v>-35000</v>
      </c>
      <c r="AB20" s="458">
        <v>-35000</v>
      </c>
      <c r="AC20" s="458">
        <v>-35000</v>
      </c>
      <c r="AD20" s="458">
        <v>-35000</v>
      </c>
      <c r="AE20" s="458">
        <v>-35000</v>
      </c>
      <c r="AF20" s="458">
        <v>-35000</v>
      </c>
      <c r="AG20" s="458">
        <v>-35000</v>
      </c>
      <c r="AH20" s="458">
        <v>-35000</v>
      </c>
      <c r="AI20" s="458">
        <v>-35000</v>
      </c>
      <c r="AJ20" s="458">
        <v>-35000</v>
      </c>
      <c r="AK20" s="458">
        <v>-35000</v>
      </c>
      <c r="AL20" s="458">
        <v>-35000</v>
      </c>
      <c r="AM20" s="255"/>
      <c r="AN20" s="325">
        <f t="shared" si="3"/>
        <v>-420000</v>
      </c>
      <c r="AO20" s="326">
        <f t="shared" si="0"/>
        <v>-420000</v>
      </c>
      <c r="AP20" s="327">
        <f t="shared" si="4"/>
        <v>-420000</v>
      </c>
      <c r="AQ20" s="37"/>
    </row>
    <row r="21" spans="1:43" ht="15" customHeight="1">
      <c r="A21" s="192"/>
      <c r="B21" s="30" t="s">
        <v>212</v>
      </c>
      <c r="C21" s="464">
        <v>-525</v>
      </c>
      <c r="D21" s="458">
        <v>-525</v>
      </c>
      <c r="E21" s="458">
        <v>-525</v>
      </c>
      <c r="F21" s="458">
        <v>-2475</v>
      </c>
      <c r="G21" s="458">
        <v>-2475</v>
      </c>
      <c r="H21" s="458">
        <v>-2475</v>
      </c>
      <c r="I21" s="458">
        <v>-5625</v>
      </c>
      <c r="J21" s="458">
        <v>-6000</v>
      </c>
      <c r="K21" s="458">
        <v>-6000</v>
      </c>
      <c r="L21" s="458">
        <v>-6375</v>
      </c>
      <c r="M21" s="458">
        <v>-6375</v>
      </c>
      <c r="N21" s="458">
        <v>-6375</v>
      </c>
      <c r="O21" s="458">
        <v>-6375</v>
      </c>
      <c r="P21" s="458">
        <v>-6375</v>
      </c>
      <c r="Q21" s="458">
        <v>-6750</v>
      </c>
      <c r="R21" s="458">
        <v>-6750</v>
      </c>
      <c r="S21" s="458">
        <v>-6750</v>
      </c>
      <c r="T21" s="458">
        <v>-6750</v>
      </c>
      <c r="U21" s="458">
        <v>-6750</v>
      </c>
      <c r="V21" s="458">
        <v>-6750</v>
      </c>
      <c r="W21" s="458">
        <v>-6750</v>
      </c>
      <c r="X21" s="458">
        <v>-7125</v>
      </c>
      <c r="Y21" s="458">
        <v>-7125</v>
      </c>
      <c r="Z21" s="458">
        <v>-7125</v>
      </c>
      <c r="AA21" s="458">
        <v>-7174.500000000002</v>
      </c>
      <c r="AB21" s="458">
        <v>-7174.500000000002</v>
      </c>
      <c r="AC21" s="458">
        <v>-7174.500000000002</v>
      </c>
      <c r="AD21" s="458">
        <v>-7174.500000000002</v>
      </c>
      <c r="AE21" s="458">
        <v>-7174.500000000002</v>
      </c>
      <c r="AF21" s="458">
        <v>-7174.500000000002</v>
      </c>
      <c r="AG21" s="458">
        <v>-7174.500000000002</v>
      </c>
      <c r="AH21" s="458">
        <v>-7174.500000000002</v>
      </c>
      <c r="AI21" s="458">
        <v>-7174.500000000002</v>
      </c>
      <c r="AJ21" s="458">
        <v>-7174.500000000002</v>
      </c>
      <c r="AK21" s="458">
        <v>-7174.500000000002</v>
      </c>
      <c r="AL21" s="458">
        <v>-7174.500000000002</v>
      </c>
      <c r="AM21" s="255"/>
      <c r="AN21" s="325">
        <f t="shared" si="3"/>
        <v>-45750</v>
      </c>
      <c r="AO21" s="326">
        <f t="shared" si="0"/>
        <v>-81375</v>
      </c>
      <c r="AP21" s="327">
        <f t="shared" si="4"/>
        <v>-86094.00000000001</v>
      </c>
      <c r="AQ21" s="37"/>
    </row>
    <row r="22" spans="1:43" ht="15" customHeight="1">
      <c r="A22" s="192"/>
      <c r="B22" s="30" t="s">
        <v>213</v>
      </c>
      <c r="C22" s="464">
        <v>-3775</v>
      </c>
      <c r="D22" s="458">
        <v>-3775</v>
      </c>
      <c r="E22" s="458">
        <v>-3775</v>
      </c>
      <c r="F22" s="458">
        <v>-3775</v>
      </c>
      <c r="G22" s="458">
        <v>-3775</v>
      </c>
      <c r="H22" s="458">
        <v>-3775</v>
      </c>
      <c r="I22" s="458">
        <v>-3775</v>
      </c>
      <c r="J22" s="458">
        <v>-3775</v>
      </c>
      <c r="K22" s="458">
        <v>-3775</v>
      </c>
      <c r="L22" s="458">
        <v>-3775</v>
      </c>
      <c r="M22" s="458">
        <v>-3775</v>
      </c>
      <c r="N22" s="458">
        <v>-3775</v>
      </c>
      <c r="O22" s="458">
        <v>-3775</v>
      </c>
      <c r="P22" s="458">
        <v>-3775</v>
      </c>
      <c r="Q22" s="458">
        <v>-3775</v>
      </c>
      <c r="R22" s="458">
        <v>-3775</v>
      </c>
      <c r="S22" s="458">
        <v>-3775</v>
      </c>
      <c r="T22" s="458">
        <v>-3775</v>
      </c>
      <c r="U22" s="458">
        <v>-3775</v>
      </c>
      <c r="V22" s="458">
        <v>-3775</v>
      </c>
      <c r="W22" s="458">
        <v>-3775</v>
      </c>
      <c r="X22" s="458">
        <v>-3775</v>
      </c>
      <c r="Y22" s="458">
        <v>-3775</v>
      </c>
      <c r="Z22" s="458">
        <v>-3775</v>
      </c>
      <c r="AA22" s="458">
        <v>-3775</v>
      </c>
      <c r="AB22" s="458">
        <v>-3775</v>
      </c>
      <c r="AC22" s="458">
        <v>-3775</v>
      </c>
      <c r="AD22" s="458">
        <v>-3775</v>
      </c>
      <c r="AE22" s="458">
        <v>-3775</v>
      </c>
      <c r="AF22" s="458">
        <v>-3775</v>
      </c>
      <c r="AG22" s="458">
        <v>-3775</v>
      </c>
      <c r="AH22" s="458">
        <v>-3775</v>
      </c>
      <c r="AI22" s="458">
        <v>-3775</v>
      </c>
      <c r="AJ22" s="458">
        <v>-3775</v>
      </c>
      <c r="AK22" s="458">
        <v>-3775</v>
      </c>
      <c r="AL22" s="458">
        <v>-3775</v>
      </c>
      <c r="AM22" s="255"/>
      <c r="AN22" s="325">
        <f t="shared" si="3"/>
        <v>-45300</v>
      </c>
      <c r="AO22" s="326">
        <f t="shared" si="0"/>
        <v>-45300</v>
      </c>
      <c r="AP22" s="327">
        <f t="shared" si="4"/>
        <v>-45300</v>
      </c>
      <c r="AQ22" s="37"/>
    </row>
    <row r="23" spans="1:43" ht="15" customHeight="1">
      <c r="A23" s="30"/>
      <c r="B23" s="393" t="s">
        <v>214</v>
      </c>
      <c r="C23" s="459">
        <f>SUM(C18:C22)</f>
        <v>-47900</v>
      </c>
      <c r="D23" s="459">
        <f aca="true" t="shared" si="5" ref="D23:AL23">SUM(D18:D22)</f>
        <v>-41300</v>
      </c>
      <c r="E23" s="459">
        <f t="shared" si="5"/>
        <v>-41300</v>
      </c>
      <c r="F23" s="459">
        <f t="shared" si="5"/>
        <v>-137230</v>
      </c>
      <c r="G23" s="459">
        <f t="shared" si="5"/>
        <v>-137230</v>
      </c>
      <c r="H23" s="459">
        <f t="shared" si="5"/>
        <v>-137230</v>
      </c>
      <c r="I23" s="459">
        <f t="shared" si="5"/>
        <v>-152755</v>
      </c>
      <c r="J23" s="459">
        <f t="shared" si="5"/>
        <v>-172505</v>
      </c>
      <c r="K23" s="459">
        <f t="shared" si="5"/>
        <v>-172505</v>
      </c>
      <c r="L23" s="459">
        <f t="shared" si="5"/>
        <v>-196005</v>
      </c>
      <c r="M23" s="459">
        <f t="shared" si="5"/>
        <v>-196005</v>
      </c>
      <c r="N23" s="459">
        <f t="shared" si="5"/>
        <v>-196005</v>
      </c>
      <c r="O23" s="459">
        <f t="shared" si="5"/>
        <v>-196005</v>
      </c>
      <c r="P23" s="459">
        <f t="shared" si="5"/>
        <v>-196005</v>
      </c>
      <c r="Q23" s="459">
        <f t="shared" si="5"/>
        <v>-219505</v>
      </c>
      <c r="R23" s="459">
        <f t="shared" si="5"/>
        <v>-219505</v>
      </c>
      <c r="S23" s="459">
        <f t="shared" si="5"/>
        <v>-219505</v>
      </c>
      <c r="T23" s="459">
        <f t="shared" si="5"/>
        <v>-219505</v>
      </c>
      <c r="U23" s="459">
        <f t="shared" si="5"/>
        <v>-219505</v>
      </c>
      <c r="V23" s="459">
        <f t="shared" si="5"/>
        <v>-219505</v>
      </c>
      <c r="W23" s="459">
        <f t="shared" si="5"/>
        <v>-219505</v>
      </c>
      <c r="X23" s="459">
        <f t="shared" si="5"/>
        <v>-236380</v>
      </c>
      <c r="Y23" s="459">
        <f t="shared" si="5"/>
        <v>-236380</v>
      </c>
      <c r="Z23" s="459">
        <f t="shared" si="5"/>
        <v>-236380</v>
      </c>
      <c r="AA23" s="459">
        <f t="shared" si="5"/>
        <v>-240199.1</v>
      </c>
      <c r="AB23" s="459">
        <f t="shared" si="5"/>
        <v>-240199.1</v>
      </c>
      <c r="AC23" s="459">
        <f t="shared" si="5"/>
        <v>-240199.1</v>
      </c>
      <c r="AD23" s="459">
        <f t="shared" si="5"/>
        <v>-240199.1</v>
      </c>
      <c r="AE23" s="459">
        <f t="shared" si="5"/>
        <v>-240199.1</v>
      </c>
      <c r="AF23" s="459">
        <f t="shared" si="5"/>
        <v>-240199.1</v>
      </c>
      <c r="AG23" s="459">
        <f t="shared" si="5"/>
        <v>-240199.1</v>
      </c>
      <c r="AH23" s="459">
        <f t="shared" si="5"/>
        <v>-240199.1</v>
      </c>
      <c r="AI23" s="459">
        <f t="shared" si="5"/>
        <v>-240199.1</v>
      </c>
      <c r="AJ23" s="459">
        <f t="shared" si="5"/>
        <v>-240199.1</v>
      </c>
      <c r="AK23" s="459">
        <f t="shared" si="5"/>
        <v>-240199.1</v>
      </c>
      <c r="AL23" s="459">
        <f t="shared" si="5"/>
        <v>-240199.1</v>
      </c>
      <c r="AM23" s="255"/>
      <c r="AN23" s="394">
        <f>SUM(C23:N23)</f>
        <v>-1627970</v>
      </c>
      <c r="AO23" s="395">
        <f>SUM(O23:Z23)</f>
        <v>-2637685</v>
      </c>
      <c r="AP23" s="396">
        <f>SUM(AA23:AL23)</f>
        <v>-2882389.2000000007</v>
      </c>
      <c r="AQ23" s="37"/>
    </row>
    <row r="24" spans="1:43" ht="15" customHeight="1">
      <c r="A24" s="393" t="s">
        <v>215</v>
      </c>
      <c r="B24" s="30"/>
      <c r="C24" s="460">
        <f>C12+C23</f>
        <v>-41342.18666666666</v>
      </c>
      <c r="D24" s="460">
        <f aca="true" t="shared" si="6" ref="D24:AL24">D12+D23</f>
        <v>-32826.14</v>
      </c>
      <c r="E24" s="460">
        <f t="shared" si="6"/>
        <v>-27077.059999999998</v>
      </c>
      <c r="F24" s="460">
        <f t="shared" si="6"/>
        <v>-120708.1</v>
      </c>
      <c r="G24" s="460">
        <f t="shared" si="6"/>
        <v>-117949.284</v>
      </c>
      <c r="H24" s="460">
        <f t="shared" si="6"/>
        <v>-114638.6408</v>
      </c>
      <c r="I24" s="460">
        <f t="shared" si="6"/>
        <v>-125990.88496</v>
      </c>
      <c r="J24" s="460">
        <f t="shared" si="6"/>
        <v>-140973.497952</v>
      </c>
      <c r="K24" s="460">
        <f t="shared" si="6"/>
        <v>-135252.5535424</v>
      </c>
      <c r="L24" s="460">
        <f t="shared" si="6"/>
        <v>-151887.34025088</v>
      </c>
      <c r="M24" s="460">
        <f t="shared" si="6"/>
        <v>-143649.004301056</v>
      </c>
      <c r="N24" s="460">
        <f t="shared" si="6"/>
        <v>-133762.9211612672</v>
      </c>
      <c r="O24" s="460">
        <f t="shared" si="6"/>
        <v>-28233.019211499544</v>
      </c>
      <c r="P24" s="460">
        <f t="shared" si="6"/>
        <v>-21050.127066755056</v>
      </c>
      <c r="Q24" s="460">
        <f t="shared" si="6"/>
        <v>-36648.94570753613</v>
      </c>
      <c r="R24" s="460">
        <f t="shared" si="6"/>
        <v>-27957.64621239534</v>
      </c>
      <c r="S24" s="460">
        <f t="shared" si="6"/>
        <v>-18397.216767740436</v>
      </c>
      <c r="T24" s="460">
        <f t="shared" si="6"/>
        <v>-7880.744378620177</v>
      </c>
      <c r="U24" s="460">
        <f t="shared" si="6"/>
        <v>2687.37524941226</v>
      </c>
      <c r="V24" s="460">
        <f t="shared" si="6"/>
        <v>15412.30684024794</v>
      </c>
      <c r="W24" s="460">
        <f t="shared" si="6"/>
        <v>29409.731590167095</v>
      </c>
      <c r="X24" s="460">
        <f t="shared" si="6"/>
        <v>27931.898815078195</v>
      </c>
      <c r="Y24" s="460">
        <f t="shared" si="6"/>
        <v>44868.782762480434</v>
      </c>
      <c r="Z24" s="460">
        <f t="shared" si="6"/>
        <v>63499.35510462278</v>
      </c>
      <c r="AA24" s="460">
        <f t="shared" si="6"/>
        <v>60719.74368346293</v>
      </c>
      <c r="AB24" s="460">
        <f t="shared" si="6"/>
        <v>62779.62714809118</v>
      </c>
      <c r="AC24" s="460">
        <f t="shared" si="6"/>
        <v>64860.10944736583</v>
      </c>
      <c r="AD24" s="460">
        <f t="shared" si="6"/>
        <v>66961.39656963301</v>
      </c>
      <c r="AE24" s="460">
        <f t="shared" si="6"/>
        <v>69083.696563123</v>
      </c>
      <c r="AF24" s="460">
        <f t="shared" si="6"/>
        <v>71227.2195565479</v>
      </c>
      <c r="AG24" s="460">
        <f t="shared" si="6"/>
        <v>72392.1777799071</v>
      </c>
      <c r="AH24" s="460">
        <f t="shared" si="6"/>
        <v>74578.7855854998</v>
      </c>
      <c r="AI24" s="460">
        <f t="shared" si="6"/>
        <v>76787.25946914844</v>
      </c>
      <c r="AJ24" s="460">
        <f t="shared" si="6"/>
        <v>79017.81809163358</v>
      </c>
      <c r="AK24" s="460">
        <f t="shared" si="6"/>
        <v>81270.68230034361</v>
      </c>
      <c r="AL24" s="460">
        <f t="shared" si="6"/>
        <v>83546.07515114077</v>
      </c>
      <c r="AM24" s="255"/>
      <c r="AN24" s="394">
        <f>SUM(C24:N24)</f>
        <v>-1286057.61363427</v>
      </c>
      <c r="AO24" s="395">
        <f>SUM(O24:Z24)</f>
        <v>43641.751017462026</v>
      </c>
      <c r="AP24" s="396">
        <f>SUM(AA24:AL24)</f>
        <v>863224.5913458974</v>
      </c>
      <c r="AQ24" s="37"/>
    </row>
    <row r="25" spans="1:43" ht="15" customHeight="1">
      <c r="A25" s="30"/>
      <c r="B25" s="30"/>
      <c r="C25" s="348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255"/>
      <c r="AN25" s="325"/>
      <c r="AO25" s="326"/>
      <c r="AP25" s="327"/>
      <c r="AQ25" s="37"/>
    </row>
    <row r="26" spans="1:43" ht="15" customHeight="1">
      <c r="A26" s="192"/>
      <c r="B26" s="30"/>
      <c r="C26" s="348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255"/>
      <c r="AN26" s="325"/>
      <c r="AO26" s="326"/>
      <c r="AP26" s="327"/>
      <c r="AQ26" s="37"/>
    </row>
    <row r="27" spans="1:43" ht="15" customHeight="1">
      <c r="A27" s="30"/>
      <c r="B27" s="192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255"/>
      <c r="AN27" s="325"/>
      <c r="AO27" s="326"/>
      <c r="AP27" s="327"/>
      <c r="AQ27" s="37"/>
    </row>
    <row r="28" spans="1:43" ht="15" customHeight="1">
      <c r="A28" s="70"/>
      <c r="B28" s="239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255"/>
      <c r="AN28" s="325">
        <f t="shared" si="3"/>
        <v>0</v>
      </c>
      <c r="AO28" s="326">
        <f aca="true" t="shared" si="7" ref="AO28:AO47">SUM(O28:Z28)</f>
        <v>0</v>
      </c>
      <c r="AP28" s="327">
        <f t="shared" si="4"/>
        <v>0</v>
      </c>
      <c r="AQ28" s="37"/>
    </row>
    <row r="29" spans="1:43" ht="15" customHeight="1">
      <c r="A29" s="51" t="s">
        <v>16</v>
      </c>
      <c r="B29" s="52"/>
      <c r="C29" s="461">
        <f aca="true" t="shared" si="8" ref="C29:AL29">SUM(C15:C27)</f>
        <v>-137142.18666666665</v>
      </c>
      <c r="D29" s="461">
        <f t="shared" si="8"/>
        <v>-115426.14</v>
      </c>
      <c r="E29" s="461">
        <f t="shared" si="8"/>
        <v>-109677.06</v>
      </c>
      <c r="F29" s="461">
        <f t="shared" si="8"/>
        <v>-395168.1</v>
      </c>
      <c r="G29" s="461">
        <f t="shared" si="8"/>
        <v>-392409.284</v>
      </c>
      <c r="H29" s="461">
        <f t="shared" si="8"/>
        <v>-389098.6408</v>
      </c>
      <c r="I29" s="461">
        <f t="shared" si="8"/>
        <v>-431500.88496</v>
      </c>
      <c r="J29" s="461">
        <f t="shared" si="8"/>
        <v>-485983.497952</v>
      </c>
      <c r="K29" s="461">
        <f t="shared" si="8"/>
        <v>-480262.5535424</v>
      </c>
      <c r="L29" s="461">
        <f t="shared" si="8"/>
        <v>-543897.34025088</v>
      </c>
      <c r="M29" s="461">
        <f t="shared" si="8"/>
        <v>-535659.004301056</v>
      </c>
      <c r="N29" s="461">
        <f t="shared" si="8"/>
        <v>-525772.9211612672</v>
      </c>
      <c r="O29" s="461">
        <f t="shared" si="8"/>
        <v>-420243.01921149954</v>
      </c>
      <c r="P29" s="461">
        <f t="shared" si="8"/>
        <v>-413060.1270667551</v>
      </c>
      <c r="Q29" s="461">
        <f t="shared" si="8"/>
        <v>-475658.9457075361</v>
      </c>
      <c r="R29" s="461">
        <f t="shared" si="8"/>
        <v>-466967.64621239534</v>
      </c>
      <c r="S29" s="461">
        <f t="shared" si="8"/>
        <v>-457407.21676774044</v>
      </c>
      <c r="T29" s="461">
        <f t="shared" si="8"/>
        <v>-446890.7443786202</v>
      </c>
      <c r="U29" s="461">
        <f t="shared" si="8"/>
        <v>-436322.62475058774</v>
      </c>
      <c r="V29" s="461">
        <f t="shared" si="8"/>
        <v>-423597.69315975206</v>
      </c>
      <c r="W29" s="461">
        <f t="shared" si="8"/>
        <v>-409600.2684098329</v>
      </c>
      <c r="X29" s="461">
        <f t="shared" si="8"/>
        <v>-444828.1011849218</v>
      </c>
      <c r="Y29" s="461">
        <f t="shared" si="8"/>
        <v>-427891.21723751957</v>
      </c>
      <c r="Z29" s="461">
        <f t="shared" si="8"/>
        <v>-409260.6448953772</v>
      </c>
      <c r="AA29" s="461">
        <f t="shared" si="8"/>
        <v>-419678.4563165371</v>
      </c>
      <c r="AB29" s="461">
        <f t="shared" si="8"/>
        <v>-417618.57285190886</v>
      </c>
      <c r="AC29" s="461">
        <f t="shared" si="8"/>
        <v>-415538.0905526342</v>
      </c>
      <c r="AD29" s="461">
        <f t="shared" si="8"/>
        <v>-413436.803430367</v>
      </c>
      <c r="AE29" s="461">
        <f t="shared" si="8"/>
        <v>-411314.50343687704</v>
      </c>
      <c r="AF29" s="461">
        <f t="shared" si="8"/>
        <v>-409170.98044345214</v>
      </c>
      <c r="AG29" s="461">
        <f t="shared" si="8"/>
        <v>-408006.02222009294</v>
      </c>
      <c r="AH29" s="461">
        <f t="shared" si="8"/>
        <v>-405819.41441450024</v>
      </c>
      <c r="AI29" s="461">
        <f t="shared" si="8"/>
        <v>-403610.9405308516</v>
      </c>
      <c r="AJ29" s="461">
        <f t="shared" si="8"/>
        <v>-401380.38190836646</v>
      </c>
      <c r="AK29" s="461">
        <f t="shared" si="8"/>
        <v>-399127.5176996564</v>
      </c>
      <c r="AL29" s="461">
        <f t="shared" si="8"/>
        <v>-396852.12484885927</v>
      </c>
      <c r="AM29" s="257"/>
      <c r="AN29" s="325">
        <f t="shared" si="3"/>
        <v>-4541997.613634269</v>
      </c>
      <c r="AO29" s="326">
        <f t="shared" si="7"/>
        <v>-5231728.2489825385</v>
      </c>
      <c r="AP29" s="327">
        <f t="shared" si="4"/>
        <v>-4901553.808654103</v>
      </c>
      <c r="AQ29" s="37"/>
    </row>
    <row r="30" spans="1:43" ht="15" customHeight="1">
      <c r="A30" s="45"/>
      <c r="B30" s="57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255"/>
      <c r="AN30" s="325">
        <f t="shared" si="3"/>
        <v>0</v>
      </c>
      <c r="AO30" s="326">
        <f t="shared" si="7"/>
        <v>0</v>
      </c>
      <c r="AP30" s="327">
        <f t="shared" si="4"/>
        <v>0</v>
      </c>
      <c r="AQ30" s="37"/>
    </row>
    <row r="31" spans="1:43" ht="15" customHeight="1">
      <c r="A31" s="58"/>
      <c r="B31" s="227" t="s">
        <v>161</v>
      </c>
      <c r="C31" s="461">
        <f aca="true" t="shared" si="9" ref="C31:AL31">C9+C29</f>
        <v>-103808.8533333333</v>
      </c>
      <c r="D31" s="461">
        <f t="shared" si="9"/>
        <v>-75426.14</v>
      </c>
      <c r="E31" s="461">
        <f t="shared" si="9"/>
        <v>-49677.06</v>
      </c>
      <c r="F31" s="461">
        <f t="shared" si="9"/>
        <v>-327168.1</v>
      </c>
      <c r="G31" s="461">
        <f t="shared" si="9"/>
        <v>-314809.284</v>
      </c>
      <c r="H31" s="461">
        <f t="shared" si="9"/>
        <v>-299978.6408</v>
      </c>
      <c r="I31" s="461">
        <f t="shared" si="9"/>
        <v>-323556.88496</v>
      </c>
      <c r="J31" s="461">
        <f t="shared" si="9"/>
        <v>-361450.697952</v>
      </c>
      <c r="K31" s="461">
        <f t="shared" si="9"/>
        <v>-335823.1935424</v>
      </c>
      <c r="L31" s="461">
        <f t="shared" si="9"/>
        <v>-375570.10825088003</v>
      </c>
      <c r="M31" s="461">
        <f t="shared" si="9"/>
        <v>-338666.32590105606</v>
      </c>
      <c r="N31" s="461">
        <f t="shared" si="9"/>
        <v>-294381.70708126726</v>
      </c>
      <c r="O31" s="461">
        <f t="shared" si="9"/>
        <v>-65712.68372349959</v>
      </c>
      <c r="P31" s="461">
        <f t="shared" si="9"/>
        <v>-33076.75802995509</v>
      </c>
      <c r="Q31" s="461">
        <f t="shared" si="9"/>
        <v>-67677.23976705607</v>
      </c>
      <c r="R31" s="461">
        <f t="shared" si="9"/>
        <v>-28187.76967786724</v>
      </c>
      <c r="S31" s="461">
        <f t="shared" si="9"/>
        <v>15250.64742024045</v>
      </c>
      <c r="T31" s="461">
        <f t="shared" si="9"/>
        <v>63032.906228158856</v>
      </c>
      <c r="U31" s="461">
        <f t="shared" si="9"/>
        <v>114593.39091686916</v>
      </c>
      <c r="V31" s="461">
        <f t="shared" si="9"/>
        <v>172409.92407445062</v>
      </c>
      <c r="W31" s="461">
        <f t="shared" si="9"/>
        <v>236008.11054779013</v>
      </c>
      <c r="X31" s="461">
        <f t="shared" si="9"/>
        <v>255341.11566846352</v>
      </c>
      <c r="Y31" s="461">
        <f t="shared" si="9"/>
        <v>332294.92130120436</v>
      </c>
      <c r="Z31" s="461">
        <f t="shared" si="9"/>
        <v>416944.1074972191</v>
      </c>
      <c r="AA31" s="461">
        <f t="shared" si="9"/>
        <v>413788.34359998535</v>
      </c>
      <c r="AB31" s="461">
        <f t="shared" si="9"/>
        <v>423182.89506377885</v>
      </c>
      <c r="AC31" s="461">
        <f t="shared" si="9"/>
        <v>432671.39204221044</v>
      </c>
      <c r="AD31" s="461">
        <f t="shared" si="9"/>
        <v>442254.7739904261</v>
      </c>
      <c r="AE31" s="461">
        <f t="shared" si="9"/>
        <v>451933.989758124</v>
      </c>
      <c r="AF31" s="461">
        <f t="shared" si="9"/>
        <v>461709.9976834989</v>
      </c>
      <c r="AG31" s="461">
        <f t="shared" si="9"/>
        <v>470583.7656881275</v>
      </c>
      <c r="AH31" s="461">
        <f t="shared" si="9"/>
        <v>480556.27137280256</v>
      </c>
      <c r="AI31" s="461">
        <f t="shared" si="9"/>
        <v>490628.50211432413</v>
      </c>
      <c r="AJ31" s="461">
        <f t="shared" si="9"/>
        <v>500801.45516326104</v>
      </c>
      <c r="AK31" s="461">
        <f t="shared" si="9"/>
        <v>511076.13774268737</v>
      </c>
      <c r="AL31" s="461">
        <f t="shared" si="9"/>
        <v>521453.5671479079</v>
      </c>
      <c r="AM31" s="257"/>
      <c r="AN31" s="325">
        <f t="shared" si="3"/>
        <v>-3200316.9958209367</v>
      </c>
      <c r="AO31" s="326">
        <f t="shared" si="7"/>
        <v>1411220.6724560182</v>
      </c>
      <c r="AP31" s="327">
        <f t="shared" si="4"/>
        <v>5600641.091367134</v>
      </c>
      <c r="AQ31" s="37"/>
    </row>
    <row r="32" spans="1:43" ht="15" customHeight="1">
      <c r="A32" s="31"/>
      <c r="B32" s="59" t="s">
        <v>17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260"/>
      <c r="AN32" s="325">
        <f t="shared" si="3"/>
        <v>0</v>
      </c>
      <c r="AO32" s="326">
        <f t="shared" si="7"/>
        <v>0</v>
      </c>
      <c r="AP32" s="327">
        <f t="shared" si="4"/>
        <v>0</v>
      </c>
      <c r="AQ32" s="37"/>
    </row>
    <row r="33" spans="1:43" ht="15" customHeight="1">
      <c r="A33" s="30"/>
      <c r="B33" s="56" t="s">
        <v>146</v>
      </c>
      <c r="C33" s="458">
        <f>-0.138888888888889*1000</f>
        <v>-138.888888888889</v>
      </c>
      <c r="D33" s="458">
        <v>-277.77777777777777</v>
      </c>
      <c r="E33" s="458">
        <v>-416.66666666666663</v>
      </c>
      <c r="F33" s="458">
        <v>-555.5555555555555</v>
      </c>
      <c r="G33" s="458">
        <v>-694.4444444444445</v>
      </c>
      <c r="H33" s="458">
        <v>-694.4444444444445</v>
      </c>
      <c r="I33" s="458">
        <v>-694.4444444444445</v>
      </c>
      <c r="J33" s="458">
        <v>-694.4444444444445</v>
      </c>
      <c r="K33" s="458">
        <v>-694.4444444444445</v>
      </c>
      <c r="L33" s="458">
        <v>-694.4444444444445</v>
      </c>
      <c r="M33" s="458">
        <v>-694.4444444444445</v>
      </c>
      <c r="N33" s="458">
        <v>-694.4444444444445</v>
      </c>
      <c r="O33" s="458">
        <v>-694.4444444444445</v>
      </c>
      <c r="P33" s="458">
        <v>-694.4444444444445</v>
      </c>
      <c r="Q33" s="458">
        <v>-694.4444444444445</v>
      </c>
      <c r="R33" s="458">
        <v>-694.4444444444445</v>
      </c>
      <c r="S33" s="458">
        <v>-694.4444444444445</v>
      </c>
      <c r="T33" s="458">
        <v>-694.4444444444445</v>
      </c>
      <c r="U33" s="458">
        <v>-694.4444444444445</v>
      </c>
      <c r="V33" s="458">
        <v>-694.4444444444445</v>
      </c>
      <c r="W33" s="458">
        <v>-694.4444444444445</v>
      </c>
      <c r="X33" s="458">
        <v>-694.4444444444445</v>
      </c>
      <c r="Y33" s="458">
        <v>-694.4444444444445</v>
      </c>
      <c r="Z33" s="458">
        <v>-694.4444444444445</v>
      </c>
      <c r="AA33" s="458">
        <v>-694.4444444444445</v>
      </c>
      <c r="AB33" s="458">
        <v>-694.4444444444445</v>
      </c>
      <c r="AC33" s="458">
        <v>-694.4444444444445</v>
      </c>
      <c r="AD33" s="458">
        <v>-694.4444444444445</v>
      </c>
      <c r="AE33" s="458">
        <v>-694.4444444444445</v>
      </c>
      <c r="AF33" s="458">
        <v>-694.4444444444445</v>
      </c>
      <c r="AG33" s="458">
        <v>-694.4444444444445</v>
      </c>
      <c r="AH33" s="458">
        <v>-694.4444444444445</v>
      </c>
      <c r="AI33" s="458">
        <v>-694.4444444444445</v>
      </c>
      <c r="AJ33" s="458">
        <v>-694.4444444444445</v>
      </c>
      <c r="AK33" s="458">
        <v>-694.4444444444445</v>
      </c>
      <c r="AL33" s="458">
        <v>-694.4444444444445</v>
      </c>
      <c r="AM33" s="255"/>
      <c r="AN33" s="325">
        <f t="shared" si="3"/>
        <v>-6944.444444444444</v>
      </c>
      <c r="AO33" s="326">
        <f t="shared" si="7"/>
        <v>-8333.333333333334</v>
      </c>
      <c r="AP33" s="327">
        <f t="shared" si="4"/>
        <v>-8333.333333333334</v>
      </c>
      <c r="AQ33" s="265"/>
    </row>
    <row r="34" spans="1:43" ht="15" customHeight="1">
      <c r="A34" s="38"/>
      <c r="B34" s="180" t="s">
        <v>84</v>
      </c>
      <c r="C34" s="462">
        <v>0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63">
        <v>-34.13212890211506</v>
      </c>
      <c r="O34" s="428"/>
      <c r="P34" s="428"/>
      <c r="Q34" s="428"/>
      <c r="R34" s="428"/>
      <c r="S34" s="462"/>
      <c r="T34" s="462"/>
      <c r="U34" s="462"/>
      <c r="V34" s="462"/>
      <c r="W34" s="462"/>
      <c r="X34" s="462"/>
      <c r="Y34" s="462"/>
      <c r="Z34" s="462">
        <v>-162.4293390223871</v>
      </c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255"/>
      <c r="AN34" s="325">
        <f t="shared" si="3"/>
        <v>-34.13212890211506</v>
      </c>
      <c r="AO34" s="326">
        <f t="shared" si="7"/>
        <v>-162.4293390223871</v>
      </c>
      <c r="AP34" s="327">
        <f t="shared" si="4"/>
        <v>0</v>
      </c>
      <c r="AQ34" s="265"/>
    </row>
    <row r="35" spans="1:43" ht="15" customHeight="1">
      <c r="A35" s="51" t="s">
        <v>164</v>
      </c>
      <c r="B35" s="52"/>
      <c r="C35" s="461">
        <f>C31+C32+C33</f>
        <v>-103947.7422222222</v>
      </c>
      <c r="D35" s="461">
        <f aca="true" t="shared" si="10" ref="D35:AL35">D31+D32+D33</f>
        <v>-75703.91777777778</v>
      </c>
      <c r="E35" s="461">
        <f t="shared" si="10"/>
        <v>-50093.72666666666</v>
      </c>
      <c r="F35" s="461">
        <f t="shared" si="10"/>
        <v>-327723.65555555554</v>
      </c>
      <c r="G35" s="461">
        <f t="shared" si="10"/>
        <v>-315503.7284444444</v>
      </c>
      <c r="H35" s="461">
        <f t="shared" si="10"/>
        <v>-300673.08524444443</v>
      </c>
      <c r="I35" s="461">
        <f t="shared" si="10"/>
        <v>-324251.32940444443</v>
      </c>
      <c r="J35" s="461">
        <f t="shared" si="10"/>
        <v>-362145.14239644445</v>
      </c>
      <c r="K35" s="461">
        <f t="shared" si="10"/>
        <v>-336517.63798684446</v>
      </c>
      <c r="L35" s="461">
        <f t="shared" si="10"/>
        <v>-376264.55269532447</v>
      </c>
      <c r="M35" s="461">
        <f t="shared" si="10"/>
        <v>-339360.7703455005</v>
      </c>
      <c r="N35" s="461">
        <f>N31+N32+N33+N34</f>
        <v>-295110.2836546138</v>
      </c>
      <c r="O35" s="461">
        <f t="shared" si="10"/>
        <v>-66407.12816794403</v>
      </c>
      <c r="P35" s="461">
        <f t="shared" si="10"/>
        <v>-33771.202474399535</v>
      </c>
      <c r="Q35" s="461">
        <f t="shared" si="10"/>
        <v>-68371.68421150051</v>
      </c>
      <c r="R35" s="461">
        <f t="shared" si="10"/>
        <v>-28882.214122311685</v>
      </c>
      <c r="S35" s="461">
        <f t="shared" si="10"/>
        <v>14556.202975796004</v>
      </c>
      <c r="T35" s="461">
        <f t="shared" si="10"/>
        <v>62338.46178371441</v>
      </c>
      <c r="U35" s="461">
        <f t="shared" si="10"/>
        <v>113898.94647242472</v>
      </c>
      <c r="V35" s="461">
        <f t="shared" si="10"/>
        <v>171715.4796300062</v>
      </c>
      <c r="W35" s="461">
        <f t="shared" si="10"/>
        <v>235313.6661033457</v>
      </c>
      <c r="X35" s="461">
        <f t="shared" si="10"/>
        <v>254646.67122401908</v>
      </c>
      <c r="Y35" s="461">
        <f t="shared" si="10"/>
        <v>331600.4768567599</v>
      </c>
      <c r="Z35" s="461">
        <f>Z31+Z32+Z33+Z34</f>
        <v>416087.2337137523</v>
      </c>
      <c r="AA35" s="461">
        <f t="shared" si="10"/>
        <v>413093.8991555409</v>
      </c>
      <c r="AB35" s="461">
        <f t="shared" si="10"/>
        <v>422488.4506193344</v>
      </c>
      <c r="AC35" s="461">
        <f t="shared" si="10"/>
        <v>431976.947597766</v>
      </c>
      <c r="AD35" s="461">
        <f t="shared" si="10"/>
        <v>441560.32954598166</v>
      </c>
      <c r="AE35" s="461">
        <f t="shared" si="10"/>
        <v>451239.54531367955</v>
      </c>
      <c r="AF35" s="461">
        <f t="shared" si="10"/>
        <v>461015.55323905445</v>
      </c>
      <c r="AG35" s="461">
        <f t="shared" si="10"/>
        <v>469889.32124368305</v>
      </c>
      <c r="AH35" s="461">
        <f t="shared" si="10"/>
        <v>479861.8269283581</v>
      </c>
      <c r="AI35" s="461">
        <f t="shared" si="10"/>
        <v>489934.0576698797</v>
      </c>
      <c r="AJ35" s="461">
        <f t="shared" si="10"/>
        <v>500107.0107188166</v>
      </c>
      <c r="AK35" s="461">
        <f t="shared" si="10"/>
        <v>510381.6932982429</v>
      </c>
      <c r="AL35" s="461">
        <f t="shared" si="10"/>
        <v>520759.1227034635</v>
      </c>
      <c r="AM35" s="257"/>
      <c r="AN35" s="325">
        <f t="shared" si="3"/>
        <v>-3207295.5723942835</v>
      </c>
      <c r="AO35" s="326">
        <f t="shared" si="7"/>
        <v>1402724.9097836628</v>
      </c>
      <c r="AP35" s="327">
        <f t="shared" si="4"/>
        <v>5592307.758033801</v>
      </c>
      <c r="AQ35" s="265"/>
    </row>
    <row r="36" spans="1:43" ht="15" customHeight="1">
      <c r="A36" s="53"/>
      <c r="B36" s="53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259"/>
      <c r="AN36" s="325">
        <f t="shared" si="3"/>
        <v>0</v>
      </c>
      <c r="AO36" s="326">
        <f t="shared" si="7"/>
        <v>0</v>
      </c>
      <c r="AP36" s="327">
        <f t="shared" si="4"/>
        <v>0</v>
      </c>
      <c r="AQ36" s="37"/>
    </row>
    <row r="37" spans="1:43" ht="15" customHeight="1">
      <c r="A37" s="51" t="s">
        <v>18</v>
      </c>
      <c r="B37" s="52"/>
      <c r="C37" s="461">
        <f aca="true" t="shared" si="11" ref="C37:N37">C35</f>
        <v>-103947.7422222222</v>
      </c>
      <c r="D37" s="461">
        <f t="shared" si="11"/>
        <v>-75703.91777777778</v>
      </c>
      <c r="E37" s="461">
        <f t="shared" si="11"/>
        <v>-50093.72666666666</v>
      </c>
      <c r="F37" s="461">
        <f t="shared" si="11"/>
        <v>-327723.65555555554</v>
      </c>
      <c r="G37" s="461">
        <f t="shared" si="11"/>
        <v>-315503.7284444444</v>
      </c>
      <c r="H37" s="461">
        <f t="shared" si="11"/>
        <v>-300673.08524444443</v>
      </c>
      <c r="I37" s="461">
        <f t="shared" si="11"/>
        <v>-324251.32940444443</v>
      </c>
      <c r="J37" s="461">
        <f t="shared" si="11"/>
        <v>-362145.14239644445</v>
      </c>
      <c r="K37" s="461">
        <f t="shared" si="11"/>
        <v>-336517.63798684446</v>
      </c>
      <c r="L37" s="461">
        <f t="shared" si="11"/>
        <v>-376264.55269532447</v>
      </c>
      <c r="M37" s="461">
        <f t="shared" si="11"/>
        <v>-339360.7703455005</v>
      </c>
      <c r="N37" s="461">
        <f t="shared" si="11"/>
        <v>-295110.2836546138</v>
      </c>
      <c r="O37" s="461">
        <f aca="true" t="shared" si="12" ref="O37:Z37">O35</f>
        <v>-66407.12816794403</v>
      </c>
      <c r="P37" s="461">
        <f t="shared" si="12"/>
        <v>-33771.202474399535</v>
      </c>
      <c r="Q37" s="461">
        <f t="shared" si="12"/>
        <v>-68371.68421150051</v>
      </c>
      <c r="R37" s="461">
        <f t="shared" si="12"/>
        <v>-28882.214122311685</v>
      </c>
      <c r="S37" s="461">
        <f t="shared" si="12"/>
        <v>14556.202975796004</v>
      </c>
      <c r="T37" s="461">
        <f t="shared" si="12"/>
        <v>62338.46178371441</v>
      </c>
      <c r="U37" s="461">
        <f t="shared" si="12"/>
        <v>113898.94647242472</v>
      </c>
      <c r="V37" s="461">
        <f t="shared" si="12"/>
        <v>171715.4796300062</v>
      </c>
      <c r="W37" s="461">
        <f t="shared" si="12"/>
        <v>235313.6661033457</v>
      </c>
      <c r="X37" s="461">
        <f t="shared" si="12"/>
        <v>254646.67122401908</v>
      </c>
      <c r="Y37" s="461">
        <f t="shared" si="12"/>
        <v>331600.4768567599</v>
      </c>
      <c r="Z37" s="461">
        <f t="shared" si="12"/>
        <v>416087.2337137523</v>
      </c>
      <c r="AA37" s="461">
        <f aca="true" t="shared" si="13" ref="AA37:AL37">AA9+AA35</f>
        <v>1246560.6990720634</v>
      </c>
      <c r="AB37" s="461">
        <f t="shared" si="13"/>
        <v>1263289.918535022</v>
      </c>
      <c r="AC37" s="461">
        <f t="shared" si="13"/>
        <v>1280186.4301926107</v>
      </c>
      <c r="AD37" s="461">
        <f t="shared" si="13"/>
        <v>1297251.9069667747</v>
      </c>
      <c r="AE37" s="461">
        <f t="shared" si="13"/>
        <v>1314488.0385086806</v>
      </c>
      <c r="AF37" s="461">
        <f t="shared" si="13"/>
        <v>1331896.5313660055</v>
      </c>
      <c r="AG37" s="461">
        <f t="shared" si="13"/>
        <v>1348479.1091519035</v>
      </c>
      <c r="AH37" s="461">
        <f t="shared" si="13"/>
        <v>1366237.512715661</v>
      </c>
      <c r="AI37" s="461">
        <f t="shared" si="13"/>
        <v>1384173.5003150555</v>
      </c>
      <c r="AJ37" s="461">
        <f t="shared" si="13"/>
        <v>1402288.847790444</v>
      </c>
      <c r="AK37" s="461">
        <f t="shared" si="13"/>
        <v>1420585.3487405868</v>
      </c>
      <c r="AL37" s="461">
        <f t="shared" si="13"/>
        <v>1439064.8147002307</v>
      </c>
      <c r="AM37" s="257"/>
      <c r="AN37" s="325">
        <f t="shared" si="3"/>
        <v>-3207295.5723942835</v>
      </c>
      <c r="AO37" s="326">
        <f t="shared" si="7"/>
        <v>1402724.9097836628</v>
      </c>
      <c r="AP37" s="327">
        <f t="shared" si="4"/>
        <v>16094502.658055037</v>
      </c>
      <c r="AQ37" s="37"/>
    </row>
    <row r="38" spans="1:43" ht="15" customHeight="1">
      <c r="A38" s="53"/>
      <c r="B38" s="61" t="s">
        <v>19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261"/>
      <c r="AN38" s="325">
        <f t="shared" si="3"/>
        <v>0</v>
      </c>
      <c r="AO38" s="326">
        <f t="shared" si="7"/>
        <v>0</v>
      </c>
      <c r="AP38" s="327">
        <f t="shared" si="4"/>
        <v>0</v>
      </c>
      <c r="AQ38" s="37"/>
    </row>
    <row r="39" spans="1:43" ht="15" customHeight="1" hidden="1">
      <c r="A39" s="40" t="s">
        <v>20</v>
      </c>
      <c r="B39" s="41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256"/>
      <c r="AN39" s="325">
        <f t="shared" si="3"/>
        <v>0</v>
      </c>
      <c r="AO39" s="326">
        <f t="shared" si="7"/>
        <v>0</v>
      </c>
      <c r="AP39" s="327">
        <f t="shared" si="4"/>
        <v>0</v>
      </c>
      <c r="AQ39" s="37"/>
    </row>
    <row r="40" spans="1:43" ht="15" customHeight="1" hidden="1">
      <c r="A40" s="45"/>
      <c r="B40" s="62" t="s">
        <v>21</v>
      </c>
      <c r="C40" s="349">
        <v>0</v>
      </c>
      <c r="D40" s="349">
        <v>0</v>
      </c>
      <c r="E40" s="349">
        <v>0</v>
      </c>
      <c r="F40" s="349">
        <v>0</v>
      </c>
      <c r="G40" s="349">
        <v>0</v>
      </c>
      <c r="H40" s="349">
        <v>0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49">
        <v>0</v>
      </c>
      <c r="R40" s="349">
        <v>0</v>
      </c>
      <c r="S40" s="349">
        <v>0</v>
      </c>
      <c r="T40" s="349">
        <v>0</v>
      </c>
      <c r="U40" s="349">
        <v>0</v>
      </c>
      <c r="V40" s="349">
        <v>0</v>
      </c>
      <c r="W40" s="349">
        <v>0</v>
      </c>
      <c r="X40" s="349">
        <v>0</v>
      </c>
      <c r="Y40" s="349">
        <v>0</v>
      </c>
      <c r="Z40" s="349">
        <v>0</v>
      </c>
      <c r="AA40" s="349">
        <v>0</v>
      </c>
      <c r="AB40" s="349">
        <v>0</v>
      </c>
      <c r="AC40" s="349">
        <v>0</v>
      </c>
      <c r="AD40" s="349">
        <v>0</v>
      </c>
      <c r="AE40" s="349">
        <v>0</v>
      </c>
      <c r="AF40" s="349">
        <v>0</v>
      </c>
      <c r="AG40" s="349">
        <v>0</v>
      </c>
      <c r="AH40" s="349">
        <v>0</v>
      </c>
      <c r="AI40" s="349">
        <v>0</v>
      </c>
      <c r="AJ40" s="349">
        <v>0</v>
      </c>
      <c r="AK40" s="349">
        <v>0</v>
      </c>
      <c r="AL40" s="349">
        <v>0</v>
      </c>
      <c r="AM40" s="255"/>
      <c r="AN40" s="325">
        <f t="shared" si="3"/>
        <v>0</v>
      </c>
      <c r="AO40" s="326">
        <f t="shared" si="7"/>
        <v>0</v>
      </c>
      <c r="AP40" s="327">
        <f t="shared" si="4"/>
        <v>0</v>
      </c>
      <c r="AQ40" s="37"/>
    </row>
    <row r="41" spans="1:43" ht="15" customHeight="1" hidden="1">
      <c r="A41" s="30"/>
      <c r="B41" s="63" t="s">
        <v>22</v>
      </c>
      <c r="C41" s="349">
        <v>0</v>
      </c>
      <c r="D41" s="349">
        <v>0</v>
      </c>
      <c r="E41" s="349">
        <v>0</v>
      </c>
      <c r="F41" s="349">
        <v>0</v>
      </c>
      <c r="G41" s="349">
        <v>0</v>
      </c>
      <c r="H41" s="349">
        <v>0</v>
      </c>
      <c r="I41" s="349">
        <v>0</v>
      </c>
      <c r="J41" s="349">
        <v>0</v>
      </c>
      <c r="K41" s="349">
        <v>0</v>
      </c>
      <c r="L41" s="349">
        <v>0</v>
      </c>
      <c r="M41" s="349">
        <v>0</v>
      </c>
      <c r="N41" s="349">
        <v>0</v>
      </c>
      <c r="O41" s="349">
        <v>0</v>
      </c>
      <c r="P41" s="349">
        <v>0</v>
      </c>
      <c r="Q41" s="349">
        <v>0</v>
      </c>
      <c r="R41" s="349">
        <v>0</v>
      </c>
      <c r="S41" s="349">
        <v>0</v>
      </c>
      <c r="T41" s="349">
        <v>0</v>
      </c>
      <c r="U41" s="349">
        <v>0</v>
      </c>
      <c r="V41" s="349">
        <v>0</v>
      </c>
      <c r="W41" s="349">
        <v>0</v>
      </c>
      <c r="X41" s="349">
        <v>0</v>
      </c>
      <c r="Y41" s="349">
        <v>0</v>
      </c>
      <c r="Z41" s="349">
        <v>0</v>
      </c>
      <c r="AA41" s="349">
        <v>0</v>
      </c>
      <c r="AB41" s="349">
        <v>0</v>
      </c>
      <c r="AC41" s="349">
        <v>0</v>
      </c>
      <c r="AD41" s="349">
        <v>0</v>
      </c>
      <c r="AE41" s="349">
        <v>0</v>
      </c>
      <c r="AF41" s="349">
        <v>0</v>
      </c>
      <c r="AG41" s="349">
        <v>0</v>
      </c>
      <c r="AH41" s="349">
        <v>0</v>
      </c>
      <c r="AI41" s="349">
        <v>0</v>
      </c>
      <c r="AJ41" s="349">
        <v>0</v>
      </c>
      <c r="AK41" s="349">
        <v>0</v>
      </c>
      <c r="AL41" s="349">
        <v>0</v>
      </c>
      <c r="AM41" s="255"/>
      <c r="AN41" s="325">
        <f t="shared" si="3"/>
        <v>0</v>
      </c>
      <c r="AO41" s="326">
        <f t="shared" si="7"/>
        <v>0</v>
      </c>
      <c r="AP41" s="327">
        <f t="shared" si="4"/>
        <v>0</v>
      </c>
      <c r="AQ41" s="37"/>
    </row>
    <row r="42" spans="1:43" ht="15" customHeight="1" hidden="1">
      <c r="A42" s="30"/>
      <c r="B42" s="63" t="s">
        <v>23</v>
      </c>
      <c r="C42" s="349">
        <v>0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49">
        <v>0</v>
      </c>
      <c r="R42" s="349">
        <v>0</v>
      </c>
      <c r="S42" s="349">
        <v>0</v>
      </c>
      <c r="T42" s="349">
        <v>0</v>
      </c>
      <c r="U42" s="349">
        <v>0</v>
      </c>
      <c r="V42" s="349">
        <v>0</v>
      </c>
      <c r="W42" s="349">
        <v>0</v>
      </c>
      <c r="X42" s="349">
        <v>0</v>
      </c>
      <c r="Y42" s="349">
        <v>0</v>
      </c>
      <c r="Z42" s="349">
        <v>0</v>
      </c>
      <c r="AA42" s="349">
        <v>0</v>
      </c>
      <c r="AB42" s="349">
        <v>0</v>
      </c>
      <c r="AC42" s="349">
        <v>0</v>
      </c>
      <c r="AD42" s="349">
        <v>0</v>
      </c>
      <c r="AE42" s="349">
        <v>0</v>
      </c>
      <c r="AF42" s="349">
        <v>0</v>
      </c>
      <c r="AG42" s="349">
        <v>0</v>
      </c>
      <c r="AH42" s="349">
        <v>0</v>
      </c>
      <c r="AI42" s="349">
        <v>0</v>
      </c>
      <c r="AJ42" s="349">
        <v>0</v>
      </c>
      <c r="AK42" s="349">
        <v>0</v>
      </c>
      <c r="AL42" s="349">
        <v>0</v>
      </c>
      <c r="AM42" s="255"/>
      <c r="AN42" s="325">
        <f t="shared" si="3"/>
        <v>0</v>
      </c>
      <c r="AO42" s="326">
        <f t="shared" si="7"/>
        <v>0</v>
      </c>
      <c r="AP42" s="327">
        <f t="shared" si="4"/>
        <v>0</v>
      </c>
      <c r="AQ42" s="37"/>
    </row>
    <row r="43" spans="1:43" ht="15" customHeight="1">
      <c r="A43" s="38"/>
      <c r="B43" s="38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259"/>
      <c r="AN43" s="325">
        <f t="shared" si="3"/>
        <v>0</v>
      </c>
      <c r="AO43" s="326">
        <f t="shared" si="7"/>
        <v>0</v>
      </c>
      <c r="AP43" s="327">
        <f t="shared" si="4"/>
        <v>0</v>
      </c>
      <c r="AQ43" s="37"/>
    </row>
    <row r="44" spans="1:43" ht="13.5" customHeight="1">
      <c r="A44" s="64" t="s">
        <v>5</v>
      </c>
      <c r="B44" s="65"/>
      <c r="C44" s="470">
        <f aca="true" t="shared" si="14" ref="C44:AK44">C37+SUM(C40:C43)</f>
        <v>-103947.7422222222</v>
      </c>
      <c r="D44" s="470">
        <f t="shared" si="14"/>
        <v>-75703.91777777778</v>
      </c>
      <c r="E44" s="470">
        <f t="shared" si="14"/>
        <v>-50093.72666666666</v>
      </c>
      <c r="F44" s="470">
        <f t="shared" si="14"/>
        <v>-327723.65555555554</v>
      </c>
      <c r="G44" s="470">
        <f t="shared" si="14"/>
        <v>-315503.7284444444</v>
      </c>
      <c r="H44" s="470">
        <f t="shared" si="14"/>
        <v>-300673.08524444443</v>
      </c>
      <c r="I44" s="470">
        <f t="shared" si="14"/>
        <v>-324251.32940444443</v>
      </c>
      <c r="J44" s="470">
        <f t="shared" si="14"/>
        <v>-362145.14239644445</v>
      </c>
      <c r="K44" s="470">
        <f t="shared" si="14"/>
        <v>-336517.63798684446</v>
      </c>
      <c r="L44" s="470">
        <f t="shared" si="14"/>
        <v>-376264.55269532447</v>
      </c>
      <c r="M44" s="470">
        <f t="shared" si="14"/>
        <v>-339360.7703455005</v>
      </c>
      <c r="N44" s="470">
        <f t="shared" si="14"/>
        <v>-295110.2836546138</v>
      </c>
      <c r="O44" s="470">
        <f t="shared" si="14"/>
        <v>-66407.12816794403</v>
      </c>
      <c r="P44" s="470">
        <f t="shared" si="14"/>
        <v>-33771.202474399535</v>
      </c>
      <c r="Q44" s="470">
        <f t="shared" si="14"/>
        <v>-68371.68421150051</v>
      </c>
      <c r="R44" s="470">
        <f t="shared" si="14"/>
        <v>-28882.214122311685</v>
      </c>
      <c r="S44" s="470">
        <f t="shared" si="14"/>
        <v>14556.202975796004</v>
      </c>
      <c r="T44" s="470">
        <f t="shared" si="14"/>
        <v>62338.46178371441</v>
      </c>
      <c r="U44" s="470">
        <f t="shared" si="14"/>
        <v>113898.94647242472</v>
      </c>
      <c r="V44" s="470">
        <f t="shared" si="14"/>
        <v>171715.4796300062</v>
      </c>
      <c r="W44" s="470">
        <f t="shared" si="14"/>
        <v>235313.6661033457</v>
      </c>
      <c r="X44" s="470">
        <f t="shared" si="14"/>
        <v>254646.67122401908</v>
      </c>
      <c r="Y44" s="470">
        <f t="shared" si="14"/>
        <v>331600.4768567599</v>
      </c>
      <c r="Z44" s="470">
        <f t="shared" si="14"/>
        <v>416087.2337137523</v>
      </c>
      <c r="AA44" s="470">
        <f t="shared" si="14"/>
        <v>1246560.6990720634</v>
      </c>
      <c r="AB44" s="470">
        <f t="shared" si="14"/>
        <v>1263289.918535022</v>
      </c>
      <c r="AC44" s="470">
        <f t="shared" si="14"/>
        <v>1280186.4301926107</v>
      </c>
      <c r="AD44" s="470">
        <f t="shared" si="14"/>
        <v>1297251.9069667747</v>
      </c>
      <c r="AE44" s="470">
        <f t="shared" si="14"/>
        <v>1314488.0385086806</v>
      </c>
      <c r="AF44" s="470">
        <f t="shared" si="14"/>
        <v>1331896.5313660055</v>
      </c>
      <c r="AG44" s="470">
        <f t="shared" si="14"/>
        <v>1348479.1091519035</v>
      </c>
      <c r="AH44" s="470">
        <f t="shared" si="14"/>
        <v>1366237.512715661</v>
      </c>
      <c r="AI44" s="470">
        <f t="shared" si="14"/>
        <v>1384173.5003150555</v>
      </c>
      <c r="AJ44" s="470">
        <f t="shared" si="14"/>
        <v>1402288.847790444</v>
      </c>
      <c r="AK44" s="470">
        <f t="shared" si="14"/>
        <v>1420585.3487405868</v>
      </c>
      <c r="AL44" s="470">
        <f>AL37+SUM(AL40:AL43)</f>
        <v>1439064.8147002307</v>
      </c>
      <c r="AM44" s="258"/>
      <c r="AN44" s="325">
        <f t="shared" si="3"/>
        <v>-3207295.5723942835</v>
      </c>
      <c r="AO44" s="326">
        <f t="shared" si="7"/>
        <v>1402724.9097836628</v>
      </c>
      <c r="AP44" s="327">
        <f t="shared" si="4"/>
        <v>16094502.658055037</v>
      </c>
      <c r="AQ44" s="37"/>
    </row>
    <row r="45" spans="1:43" ht="13.5" customHeight="1">
      <c r="A45" s="39"/>
      <c r="B45" s="39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9"/>
      <c r="AM45" s="262"/>
      <c r="AN45" s="325">
        <f t="shared" si="3"/>
        <v>0</v>
      </c>
      <c r="AO45" s="326">
        <f t="shared" si="7"/>
        <v>0</v>
      </c>
      <c r="AP45" s="327">
        <f t="shared" si="4"/>
        <v>0</v>
      </c>
      <c r="AQ45" s="37"/>
    </row>
    <row r="46" spans="1:43" ht="15" customHeight="1">
      <c r="A46" s="31"/>
      <c r="B46" s="31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1"/>
      <c r="AM46" s="263"/>
      <c r="AN46" s="328">
        <f t="shared" si="3"/>
        <v>0</v>
      </c>
      <c r="AO46" s="329">
        <f t="shared" si="7"/>
        <v>0</v>
      </c>
      <c r="AP46" s="330">
        <f t="shared" si="4"/>
        <v>0</v>
      </c>
      <c r="AQ46" s="37"/>
    </row>
    <row r="47" spans="1:43" ht="15" customHeight="1" thickBot="1">
      <c r="A47" s="31"/>
      <c r="B47" s="31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1"/>
      <c r="AM47" s="263"/>
      <c r="AN47" s="331">
        <f t="shared" si="3"/>
        <v>0</v>
      </c>
      <c r="AO47" s="332">
        <f t="shared" si="7"/>
        <v>0</v>
      </c>
      <c r="AP47" s="333">
        <f t="shared" si="4"/>
        <v>0</v>
      </c>
      <c r="AQ47" s="37"/>
    </row>
  </sheetData>
  <sheetProtection/>
  <printOptions/>
  <pageMargins left="0.75" right="0.75" top="1" bottom="1" header="0.3" footer="0.3"/>
  <pageSetup horizontalDpi="600" verticalDpi="600" orientation="landscape" scale="41" r:id="rId1"/>
  <headerFooter>
    <oddFooter>&amp;C&amp;"Helvetica Neue,Regular"&amp;12&amp;K000000&amp;P</oddFooter>
  </headerFooter>
  <ignoredErrors>
    <ignoredError sqref="AN40:AP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31">
      <selection activeCell="C41" sqref="C41"/>
    </sheetView>
  </sheetViews>
  <sheetFormatPr defaultColWidth="8.7109375" defaultRowHeight="15" customHeight="1"/>
  <cols>
    <col min="1" max="1" width="19.00390625" style="1" customWidth="1"/>
    <col min="2" max="2" width="47.421875" style="1" customWidth="1"/>
    <col min="3" max="3" width="21.28125" style="1" customWidth="1"/>
    <col min="4" max="4" width="14.421875" style="1" customWidth="1"/>
    <col min="5" max="5" width="29.421875" style="1" customWidth="1"/>
    <col min="6" max="6" width="14.421875" style="1" customWidth="1"/>
    <col min="7" max="16384" width="8.7109375" style="1" customWidth="1"/>
  </cols>
  <sheetData>
    <row r="1" spans="1:6" ht="24.75" customHeight="1">
      <c r="A1" s="66" t="s">
        <v>24</v>
      </c>
      <c r="B1" s="67"/>
      <c r="C1" s="68"/>
      <c r="D1" s="37"/>
      <c r="E1" s="69" t="s">
        <v>25</v>
      </c>
      <c r="F1" s="31"/>
    </row>
    <row r="2" spans="1:6" ht="15" customHeight="1">
      <c r="A2" s="70"/>
      <c r="B2" s="71" t="s">
        <v>26</v>
      </c>
      <c r="C2" s="72">
        <v>1</v>
      </c>
      <c r="D2" s="73"/>
      <c r="E2" s="50"/>
      <c r="F2" s="31"/>
    </row>
    <row r="3" spans="1:6" ht="15" customHeight="1">
      <c r="A3" s="70"/>
      <c r="B3" s="74"/>
      <c r="C3" s="75"/>
      <c r="D3" s="37"/>
      <c r="E3" s="43" t="s">
        <v>27</v>
      </c>
      <c r="F3" s="43" t="s">
        <v>28</v>
      </c>
    </row>
    <row r="4" spans="1:6" ht="15" customHeight="1">
      <c r="A4" s="40" t="s">
        <v>29</v>
      </c>
      <c r="B4" s="41"/>
      <c r="C4" s="76"/>
      <c r="D4" s="37"/>
      <c r="E4" s="31"/>
      <c r="F4" s="31"/>
    </row>
    <row r="5" spans="1:6" ht="15" customHeight="1">
      <c r="A5" s="77" t="s">
        <v>30</v>
      </c>
      <c r="B5" s="78"/>
      <c r="C5" s="79"/>
      <c r="D5" s="37"/>
      <c r="E5" s="31"/>
      <c r="F5" s="31"/>
    </row>
    <row r="6" spans="1:6" ht="15" customHeight="1">
      <c r="A6" s="70"/>
      <c r="B6" s="80" t="s">
        <v>31</v>
      </c>
      <c r="C6" s="47" t="e">
        <f>'Cash Flow Proforma'!#REF!</f>
        <v>#REF!</v>
      </c>
      <c r="D6" s="73"/>
      <c r="E6" s="43" t="s">
        <v>32</v>
      </c>
      <c r="F6" s="31"/>
    </row>
    <row r="7" spans="1:6" ht="15" customHeight="1">
      <c r="A7" s="70"/>
      <c r="B7" s="80" t="s">
        <v>33</v>
      </c>
      <c r="C7" s="47">
        <v>0</v>
      </c>
      <c r="D7" s="73"/>
      <c r="E7" s="43" t="s">
        <v>32</v>
      </c>
      <c r="F7" s="31"/>
    </row>
    <row r="8" spans="1:6" ht="15" customHeight="1">
      <c r="A8" s="70"/>
      <c r="B8" s="80" t="s">
        <v>34</v>
      </c>
      <c r="C8" s="47">
        <v>0</v>
      </c>
      <c r="D8" s="73"/>
      <c r="E8" s="43" t="s">
        <v>32</v>
      </c>
      <c r="F8" s="31"/>
    </row>
    <row r="9" spans="1:6" ht="15" customHeight="1">
      <c r="A9" s="70"/>
      <c r="B9" s="80" t="s">
        <v>35</v>
      </c>
      <c r="C9" s="47">
        <v>0</v>
      </c>
      <c r="D9" s="73"/>
      <c r="E9" s="43" t="s">
        <v>32</v>
      </c>
      <c r="F9" s="31"/>
    </row>
    <row r="10" spans="1:6" ht="15" customHeight="1">
      <c r="A10" s="70"/>
      <c r="B10" s="80" t="s">
        <v>36</v>
      </c>
      <c r="C10" s="49">
        <v>0</v>
      </c>
      <c r="D10" s="73"/>
      <c r="E10" s="43" t="s">
        <v>32</v>
      </c>
      <c r="F10" s="31"/>
    </row>
    <row r="11" spans="1:6" ht="15" customHeight="1">
      <c r="A11" s="70"/>
      <c r="B11" s="81" t="s">
        <v>37</v>
      </c>
      <c r="C11" s="82" t="e">
        <f>SUM(C6:C10)</f>
        <v>#REF!</v>
      </c>
      <c r="D11" s="37"/>
      <c r="E11" s="31"/>
      <c r="F11" s="31"/>
    </row>
    <row r="12" spans="1:6" ht="15" customHeight="1">
      <c r="A12" s="77" t="s">
        <v>38</v>
      </c>
      <c r="B12" s="78"/>
      <c r="C12" s="83"/>
      <c r="D12" s="37"/>
      <c r="E12" s="31"/>
      <c r="F12" s="31"/>
    </row>
    <row r="13" spans="1:6" ht="15" customHeight="1">
      <c r="A13" s="70"/>
      <c r="B13" s="80" t="s">
        <v>39</v>
      </c>
      <c r="C13" s="47">
        <v>0</v>
      </c>
      <c r="D13" s="73"/>
      <c r="E13" s="43" t="s">
        <v>32</v>
      </c>
      <c r="F13" s="31"/>
    </row>
    <row r="14" spans="1:6" ht="15" customHeight="1">
      <c r="A14" s="70"/>
      <c r="B14" s="80" t="s">
        <v>40</v>
      </c>
      <c r="C14" s="47">
        <v>0</v>
      </c>
      <c r="D14" s="73"/>
      <c r="E14" s="43" t="s">
        <v>32</v>
      </c>
      <c r="F14" s="31"/>
    </row>
    <row r="15" spans="1:6" ht="15" customHeight="1">
      <c r="A15" s="70"/>
      <c r="B15" s="80" t="s">
        <v>41</v>
      </c>
      <c r="C15" s="47">
        <v>0</v>
      </c>
      <c r="D15" s="73"/>
      <c r="E15" s="43" t="s">
        <v>32</v>
      </c>
      <c r="F15" s="31"/>
    </row>
    <row r="16" spans="1:6" ht="15" customHeight="1">
      <c r="A16" s="70"/>
      <c r="B16" s="80" t="s">
        <v>42</v>
      </c>
      <c r="C16" s="49">
        <v>0</v>
      </c>
      <c r="D16" s="73"/>
      <c r="E16" s="43" t="s">
        <v>32</v>
      </c>
      <c r="F16" s="31"/>
    </row>
    <row r="17" spans="1:6" ht="15" customHeight="1">
      <c r="A17" s="70"/>
      <c r="B17" s="81" t="s">
        <v>43</v>
      </c>
      <c r="C17" s="82">
        <f>SUM(C13:C16)</f>
        <v>0</v>
      </c>
      <c r="D17" s="37"/>
      <c r="E17" s="31"/>
      <c r="F17" s="31"/>
    </row>
    <row r="18" spans="1:6" ht="15" customHeight="1">
      <c r="A18" s="77" t="s">
        <v>44</v>
      </c>
      <c r="B18" s="84" t="s">
        <v>15</v>
      </c>
      <c r="C18" s="83"/>
      <c r="D18" s="37"/>
      <c r="E18" s="31"/>
      <c r="F18" s="31"/>
    </row>
    <row r="19" spans="1:6" ht="15" customHeight="1">
      <c r="A19" s="70"/>
      <c r="B19" s="80" t="s">
        <v>45</v>
      </c>
      <c r="C19" s="47">
        <v>0</v>
      </c>
      <c r="D19" s="73"/>
      <c r="E19" s="43" t="s">
        <v>32</v>
      </c>
      <c r="F19" s="31"/>
    </row>
    <row r="20" spans="1:6" ht="15" customHeight="1">
      <c r="A20" s="70"/>
      <c r="B20" s="80" t="s">
        <v>46</v>
      </c>
      <c r="C20" s="49">
        <v>0</v>
      </c>
      <c r="D20" s="73"/>
      <c r="E20" s="43" t="s">
        <v>32</v>
      </c>
      <c r="F20" s="31"/>
    </row>
    <row r="21" spans="1:6" ht="15" customHeight="1">
      <c r="A21" s="70"/>
      <c r="B21" s="81" t="s">
        <v>47</v>
      </c>
      <c r="C21" s="82">
        <f>SUM(C19:C20)</f>
        <v>0</v>
      </c>
      <c r="D21" s="37"/>
      <c r="E21" s="31"/>
      <c r="F21" s="31"/>
    </row>
    <row r="22" spans="1:6" ht="15" customHeight="1">
      <c r="A22" s="70"/>
      <c r="B22" s="74"/>
      <c r="C22" s="85"/>
      <c r="D22" s="37"/>
      <c r="E22" s="31"/>
      <c r="F22" s="31"/>
    </row>
    <row r="23" spans="1:6" ht="15.75" customHeight="1">
      <c r="A23" s="51" t="s">
        <v>48</v>
      </c>
      <c r="B23" s="52"/>
      <c r="C23" s="86" t="e">
        <f>C11+C17+C21</f>
        <v>#REF!</v>
      </c>
      <c r="D23" s="37"/>
      <c r="E23" s="31"/>
      <c r="F23" s="31"/>
    </row>
    <row r="24" spans="1:6" ht="15.75" customHeight="1">
      <c r="A24" s="70"/>
      <c r="B24" s="74"/>
      <c r="C24" s="87"/>
      <c r="D24" s="37"/>
      <c r="E24" s="31"/>
      <c r="F24" s="31"/>
    </row>
    <row r="25" spans="1:6" ht="15" customHeight="1">
      <c r="A25" s="40" t="s">
        <v>49</v>
      </c>
      <c r="B25" s="41"/>
      <c r="C25" s="88"/>
      <c r="D25" s="37"/>
      <c r="E25" s="31"/>
      <c r="F25" s="31"/>
    </row>
    <row r="26" spans="1:6" ht="15" customHeight="1">
      <c r="A26" s="77" t="s">
        <v>50</v>
      </c>
      <c r="B26" s="78"/>
      <c r="C26" s="89"/>
      <c r="D26" s="37"/>
      <c r="E26" s="31"/>
      <c r="F26" s="31"/>
    </row>
    <row r="27" spans="1:6" ht="15" customHeight="1">
      <c r="A27" s="70"/>
      <c r="B27" s="80" t="s">
        <v>51</v>
      </c>
      <c r="C27" s="47">
        <v>0</v>
      </c>
      <c r="D27" s="73"/>
      <c r="E27" s="43" t="s">
        <v>32</v>
      </c>
      <c r="F27" s="31"/>
    </row>
    <row r="28" spans="1:6" ht="15" customHeight="1">
      <c r="A28" s="70"/>
      <c r="B28" s="80" t="s">
        <v>52</v>
      </c>
      <c r="C28" s="47">
        <v>0</v>
      </c>
      <c r="D28" s="73"/>
      <c r="E28" s="43" t="s">
        <v>32</v>
      </c>
      <c r="F28" s="31"/>
    </row>
    <row r="29" spans="1:6" ht="15" customHeight="1">
      <c r="A29" s="70"/>
      <c r="B29" s="80" t="s">
        <v>53</v>
      </c>
      <c r="C29" s="47">
        <v>0</v>
      </c>
      <c r="D29" s="73"/>
      <c r="E29" s="43" t="s">
        <v>32</v>
      </c>
      <c r="F29" s="90"/>
    </row>
    <row r="30" spans="1:6" ht="15" customHeight="1">
      <c r="A30" s="70"/>
      <c r="B30" s="80" t="s">
        <v>54</v>
      </c>
      <c r="C30" s="47">
        <v>0</v>
      </c>
      <c r="D30" s="73"/>
      <c r="E30" s="43" t="s">
        <v>32</v>
      </c>
      <c r="F30" s="31"/>
    </row>
    <row r="31" spans="1:6" ht="15" customHeight="1">
      <c r="A31" s="70"/>
      <c r="B31" s="80" t="s">
        <v>55</v>
      </c>
      <c r="C31" s="47">
        <v>0</v>
      </c>
      <c r="D31" s="73"/>
      <c r="E31" s="43" t="s">
        <v>32</v>
      </c>
      <c r="F31" s="31"/>
    </row>
    <row r="32" spans="1:6" ht="15" customHeight="1">
      <c r="A32" s="70"/>
      <c r="B32" s="80" t="s">
        <v>56</v>
      </c>
      <c r="C32" s="49">
        <v>0</v>
      </c>
      <c r="D32" s="73"/>
      <c r="E32" s="43" t="s">
        <v>32</v>
      </c>
      <c r="F32" s="31"/>
    </row>
    <row r="33" spans="1:6" ht="15" customHeight="1">
      <c r="A33" s="70"/>
      <c r="B33" s="81" t="s">
        <v>57</v>
      </c>
      <c r="C33" s="82">
        <f>SUM(C27:C32)</f>
        <v>0</v>
      </c>
      <c r="D33" s="37"/>
      <c r="E33" s="31"/>
      <c r="F33" s="31"/>
    </row>
    <row r="34" spans="1:6" ht="15" customHeight="1">
      <c r="A34" s="77" t="s">
        <v>58</v>
      </c>
      <c r="B34" s="78"/>
      <c r="C34" s="83"/>
      <c r="D34" s="37"/>
      <c r="E34" s="31"/>
      <c r="F34" s="31"/>
    </row>
    <row r="35" spans="1:6" ht="15" customHeight="1">
      <c r="A35" s="70"/>
      <c r="B35" s="80" t="s">
        <v>59</v>
      </c>
      <c r="C35" s="47">
        <f>'Assumptions &amp; Open Questions'!C37</f>
        <v>16500</v>
      </c>
      <c r="D35" s="73"/>
      <c r="E35" s="43" t="s">
        <v>32</v>
      </c>
      <c r="F35" s="31"/>
    </row>
    <row r="36" spans="1:6" ht="15" customHeight="1">
      <c r="A36" s="70"/>
      <c r="B36" s="80" t="s">
        <v>45</v>
      </c>
      <c r="C36" s="47">
        <v>0</v>
      </c>
      <c r="D36" s="73"/>
      <c r="E36" s="43" t="s">
        <v>32</v>
      </c>
      <c r="F36" s="31"/>
    </row>
    <row r="37" spans="1:6" ht="15" customHeight="1">
      <c r="A37" s="70"/>
      <c r="B37" s="80" t="s">
        <v>46</v>
      </c>
      <c r="C37" s="49">
        <v>0</v>
      </c>
      <c r="D37" s="73"/>
      <c r="E37" s="43" t="s">
        <v>32</v>
      </c>
      <c r="F37" s="31"/>
    </row>
    <row r="38" spans="1:6" ht="15" customHeight="1">
      <c r="A38" s="70"/>
      <c r="B38" s="81" t="s">
        <v>60</v>
      </c>
      <c r="C38" s="82">
        <f>SUM(C35:C37)</f>
        <v>16500</v>
      </c>
      <c r="D38" s="37"/>
      <c r="E38" s="31"/>
      <c r="F38" s="31"/>
    </row>
    <row r="39" spans="1:6" ht="15" customHeight="1">
      <c r="A39" s="77" t="s">
        <v>61</v>
      </c>
      <c r="B39" s="78"/>
      <c r="C39" s="83"/>
      <c r="D39" s="37"/>
      <c r="E39" s="31"/>
      <c r="F39" s="31"/>
    </row>
    <row r="40" spans="1:6" ht="15" customHeight="1">
      <c r="A40" s="70"/>
      <c r="B40" s="80" t="s">
        <v>62</v>
      </c>
      <c r="C40" s="47">
        <f>'Assumptions &amp; Open Questions'!C38</f>
        <v>75000</v>
      </c>
      <c r="D40" s="73"/>
      <c r="E40" s="43" t="s">
        <v>32</v>
      </c>
      <c r="F40" s="31"/>
    </row>
    <row r="41" spans="1:6" ht="15" customHeight="1">
      <c r="A41" s="70"/>
      <c r="B41" s="80" t="s">
        <v>63</v>
      </c>
      <c r="C41" s="47" t="e">
        <f>C23-C33-C40-C42-C38</f>
        <v>#REF!</v>
      </c>
      <c r="D41" s="73"/>
      <c r="E41" s="43" t="s">
        <v>64</v>
      </c>
      <c r="F41" s="31"/>
    </row>
    <row r="42" spans="1:6" ht="15" customHeight="1">
      <c r="A42" s="70"/>
      <c r="B42" s="80" t="s">
        <v>46</v>
      </c>
      <c r="C42" s="49">
        <v>0</v>
      </c>
      <c r="D42" s="73"/>
      <c r="E42" s="43" t="s">
        <v>32</v>
      </c>
      <c r="F42" s="31"/>
    </row>
    <row r="43" spans="1:6" ht="15" customHeight="1">
      <c r="A43" s="70"/>
      <c r="B43" s="81" t="s">
        <v>65</v>
      </c>
      <c r="C43" s="82" t="e">
        <f>SUM(C40:C42)</f>
        <v>#REF!</v>
      </c>
      <c r="D43" s="37"/>
      <c r="E43" s="31"/>
      <c r="F43" s="31"/>
    </row>
    <row r="44" spans="1:6" ht="15" customHeight="1">
      <c r="A44" s="70"/>
      <c r="B44" s="74"/>
      <c r="C44" s="85"/>
      <c r="D44" s="37"/>
      <c r="E44" s="31"/>
      <c r="F44" s="31"/>
    </row>
    <row r="45" spans="1:6" ht="15.75" customHeight="1">
      <c r="A45" s="51" t="s">
        <v>66</v>
      </c>
      <c r="B45" s="52"/>
      <c r="C45" s="86" t="e">
        <f>C33+C38+C43</f>
        <v>#REF!</v>
      </c>
      <c r="D45" s="37"/>
      <c r="E45" s="31"/>
      <c r="F45" s="31"/>
    </row>
    <row r="46" spans="1:6" ht="15.75" customHeight="1">
      <c r="A46" s="70"/>
      <c r="B46" s="74"/>
      <c r="C46" s="91"/>
      <c r="D46" s="37"/>
      <c r="E46" s="31"/>
      <c r="F46" s="31"/>
    </row>
    <row r="47" spans="1:6" ht="15" customHeight="1">
      <c r="A47" s="40" t="s">
        <v>67</v>
      </c>
      <c r="B47" s="41"/>
      <c r="C47" s="41"/>
      <c r="D47" s="37"/>
      <c r="E47" s="31"/>
      <c r="F47" s="31"/>
    </row>
    <row r="48" spans="1:6" ht="15" customHeight="1">
      <c r="A48" s="51" t="s">
        <v>68</v>
      </c>
      <c r="B48" s="52"/>
      <c r="C48" s="92" t="e">
        <f>IF(C23=0,"",(C33+C38)/C23)</f>
        <v>#REF!</v>
      </c>
      <c r="D48" s="37"/>
      <c r="E48" s="31"/>
      <c r="F48" s="31"/>
    </row>
    <row r="49" spans="1:6" ht="15" customHeight="1">
      <c r="A49" s="51" t="s">
        <v>69</v>
      </c>
      <c r="B49" s="52"/>
      <c r="C49" s="92">
        <f>IF(C33=0,"",C11/C33)</f>
      </c>
      <c r="D49" s="37"/>
      <c r="E49" s="31"/>
      <c r="F49" s="31"/>
    </row>
    <row r="50" spans="1:6" ht="15" customHeight="1">
      <c r="A50" s="51" t="s">
        <v>70</v>
      </c>
      <c r="B50" s="52"/>
      <c r="C50" s="93" t="e">
        <f>C11-C33</f>
        <v>#REF!</v>
      </c>
      <c r="D50" s="37"/>
      <c r="E50" s="31"/>
      <c r="F50" s="31"/>
    </row>
    <row r="51" spans="1:6" ht="15" customHeight="1">
      <c r="A51" s="51" t="s">
        <v>71</v>
      </c>
      <c r="B51" s="52"/>
      <c r="C51" s="92" t="e">
        <f>IF(C43=0,"",C23/C43)</f>
        <v>#REF!</v>
      </c>
      <c r="D51" s="37"/>
      <c r="E51" s="31"/>
      <c r="F51" s="31"/>
    </row>
    <row r="52" spans="1:6" ht="15" customHeight="1">
      <c r="A52" s="51" t="s">
        <v>72</v>
      </c>
      <c r="B52" s="52"/>
      <c r="C52" s="92" t="e">
        <f>IF(C43=0,"",(C33+C38)/C43)</f>
        <v>#REF!</v>
      </c>
      <c r="D52" s="37"/>
      <c r="E52" s="31"/>
      <c r="F52" s="31"/>
    </row>
    <row r="53" spans="1:6" ht="15" customHeight="1">
      <c r="A53" s="39"/>
      <c r="B53" s="39"/>
      <c r="C53" s="39"/>
      <c r="D53" s="31"/>
      <c r="E53" s="31"/>
      <c r="F53" s="31"/>
    </row>
    <row r="54" spans="1:6" ht="15" customHeight="1">
      <c r="A54" s="31"/>
      <c r="B54" s="31"/>
      <c r="C54" s="31"/>
      <c r="D54" s="31"/>
      <c r="E54" s="31"/>
      <c r="F54" s="31"/>
    </row>
    <row r="55" spans="1:6" ht="15" customHeight="1">
      <c r="A55" s="31"/>
      <c r="B55" s="43" t="s">
        <v>73</v>
      </c>
      <c r="C55" s="44" t="e">
        <f>C45=C23</f>
        <v>#REF!</v>
      </c>
      <c r="D55" s="31"/>
      <c r="E55" s="31"/>
      <c r="F55" s="31"/>
    </row>
  </sheetData>
  <sheetProtection/>
  <printOptions/>
  <pageMargins left="0.75" right="0.75" top="1" bottom="1" header="0.3" footer="0.3"/>
  <pageSetup horizontalDpi="600" verticalDpi="600" orientation="portrait" scale="88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U81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7" sqref="A17"/>
    </sheetView>
  </sheetViews>
  <sheetFormatPr defaultColWidth="8.7109375" defaultRowHeight="12.75" customHeight="1"/>
  <cols>
    <col min="1" max="1" width="8.7109375" style="1" customWidth="1"/>
    <col min="2" max="2" width="49.7109375" style="1" customWidth="1"/>
    <col min="3" max="3" width="17.57421875" style="1" bestFit="1" customWidth="1"/>
    <col min="4" max="38" width="16.140625" style="1" bestFit="1" customWidth="1"/>
    <col min="39" max="39" width="2.00390625" style="1" customWidth="1"/>
    <col min="40" max="40" width="8.7109375" style="411" customWidth="1"/>
    <col min="41" max="41" width="11.57421875" style="411" bestFit="1" customWidth="1"/>
    <col min="42" max="42" width="9.00390625" style="411" bestFit="1" customWidth="1"/>
    <col min="43" max="44" width="8.7109375" style="411" customWidth="1"/>
    <col min="45" max="45" width="10.57421875" style="411" bestFit="1" customWidth="1"/>
    <col min="46" max="16384" width="8.7109375" style="411" customWidth="1"/>
  </cols>
  <sheetData>
    <row r="1" spans="1:40" ht="15" customHeight="1">
      <c r="A1" s="94" t="s">
        <v>74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5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423"/>
      <c r="AN1" s="443"/>
    </row>
    <row r="2" spans="1:40" ht="18.75" customHeight="1">
      <c r="A2" s="29" t="s">
        <v>75</v>
      </c>
      <c r="B2" s="3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423"/>
      <c r="AN2" s="410"/>
    </row>
    <row r="3" spans="1:40" ht="15" customHeight="1">
      <c r="A3" s="30"/>
      <c r="B3" s="98" t="s">
        <v>76</v>
      </c>
      <c r="C3" s="99">
        <v>0</v>
      </c>
      <c r="D3" s="99">
        <f aca="true" t="shared" si="0" ref="D3:O3">C4</f>
        <v>1</v>
      </c>
      <c r="E3" s="99">
        <f t="shared" si="0"/>
        <v>2</v>
      </c>
      <c r="F3" s="99">
        <f t="shared" si="0"/>
        <v>3</v>
      </c>
      <c r="G3" s="99">
        <f t="shared" si="0"/>
        <v>4</v>
      </c>
      <c r="H3" s="99">
        <f t="shared" si="0"/>
        <v>5</v>
      </c>
      <c r="I3" s="99">
        <f t="shared" si="0"/>
        <v>6</v>
      </c>
      <c r="J3" s="99">
        <f t="shared" si="0"/>
        <v>7</v>
      </c>
      <c r="K3" s="99">
        <f t="shared" si="0"/>
        <v>8</v>
      </c>
      <c r="L3" s="99">
        <f t="shared" si="0"/>
        <v>9</v>
      </c>
      <c r="M3" s="99">
        <f t="shared" si="0"/>
        <v>10</v>
      </c>
      <c r="N3" s="100">
        <f t="shared" si="0"/>
        <v>11</v>
      </c>
      <c r="O3" s="100">
        <f t="shared" si="0"/>
        <v>12</v>
      </c>
      <c r="P3" s="99">
        <f aca="true" t="shared" si="1" ref="P3:AA3">O4</f>
        <v>13</v>
      </c>
      <c r="Q3" s="99">
        <f t="shared" si="1"/>
        <v>14</v>
      </c>
      <c r="R3" s="99">
        <f t="shared" si="1"/>
        <v>15</v>
      </c>
      <c r="S3" s="99">
        <f t="shared" si="1"/>
        <v>16</v>
      </c>
      <c r="T3" s="99">
        <f t="shared" si="1"/>
        <v>17</v>
      </c>
      <c r="U3" s="99">
        <f t="shared" si="1"/>
        <v>18</v>
      </c>
      <c r="V3" s="99">
        <f t="shared" si="1"/>
        <v>19</v>
      </c>
      <c r="W3" s="99">
        <f t="shared" si="1"/>
        <v>20</v>
      </c>
      <c r="X3" s="99">
        <f t="shared" si="1"/>
        <v>21</v>
      </c>
      <c r="Y3" s="99">
        <f t="shared" si="1"/>
        <v>22</v>
      </c>
      <c r="Z3" s="100">
        <f t="shared" si="1"/>
        <v>23</v>
      </c>
      <c r="AA3" s="100">
        <f t="shared" si="1"/>
        <v>24</v>
      </c>
      <c r="AB3" s="99">
        <f aca="true" t="shared" si="2" ref="AB3:AL3">AA4</f>
        <v>25</v>
      </c>
      <c r="AC3" s="99">
        <f t="shared" si="2"/>
        <v>26</v>
      </c>
      <c r="AD3" s="99">
        <f t="shared" si="2"/>
        <v>27</v>
      </c>
      <c r="AE3" s="99">
        <f t="shared" si="2"/>
        <v>28</v>
      </c>
      <c r="AF3" s="99">
        <f t="shared" si="2"/>
        <v>29</v>
      </c>
      <c r="AG3" s="99">
        <f t="shared" si="2"/>
        <v>30</v>
      </c>
      <c r="AH3" s="99">
        <f t="shared" si="2"/>
        <v>31</v>
      </c>
      <c r="AI3" s="99">
        <f t="shared" si="2"/>
        <v>32</v>
      </c>
      <c r="AJ3" s="99">
        <f t="shared" si="2"/>
        <v>33</v>
      </c>
      <c r="AK3" s="99">
        <f t="shared" si="2"/>
        <v>34</v>
      </c>
      <c r="AL3" s="100">
        <f t="shared" si="2"/>
        <v>35</v>
      </c>
      <c r="AM3" s="439"/>
      <c r="AN3" s="410"/>
    </row>
    <row r="4" spans="1:40" ht="15" customHeight="1">
      <c r="A4" s="30"/>
      <c r="B4" s="98" t="s">
        <v>77</v>
      </c>
      <c r="C4" s="99">
        <v>1</v>
      </c>
      <c r="D4" s="99">
        <f aca="true" t="shared" si="3" ref="D4:O4">C4+1</f>
        <v>2</v>
      </c>
      <c r="E4" s="99">
        <f t="shared" si="3"/>
        <v>3</v>
      </c>
      <c r="F4" s="99">
        <f t="shared" si="3"/>
        <v>4</v>
      </c>
      <c r="G4" s="99">
        <f t="shared" si="3"/>
        <v>5</v>
      </c>
      <c r="H4" s="99">
        <f t="shared" si="3"/>
        <v>6</v>
      </c>
      <c r="I4" s="99">
        <f t="shared" si="3"/>
        <v>7</v>
      </c>
      <c r="J4" s="99">
        <f t="shared" si="3"/>
        <v>8</v>
      </c>
      <c r="K4" s="99">
        <f t="shared" si="3"/>
        <v>9</v>
      </c>
      <c r="L4" s="99">
        <f t="shared" si="3"/>
        <v>10</v>
      </c>
      <c r="M4" s="99">
        <f t="shared" si="3"/>
        <v>11</v>
      </c>
      <c r="N4" s="100">
        <f t="shared" si="3"/>
        <v>12</v>
      </c>
      <c r="O4" s="100">
        <f t="shared" si="3"/>
        <v>13</v>
      </c>
      <c r="P4" s="99">
        <f aca="true" t="shared" si="4" ref="P4:Z4">P3+1</f>
        <v>14</v>
      </c>
      <c r="Q4" s="99">
        <f t="shared" si="4"/>
        <v>15</v>
      </c>
      <c r="R4" s="99">
        <f t="shared" si="4"/>
        <v>16</v>
      </c>
      <c r="S4" s="99">
        <f t="shared" si="4"/>
        <v>17</v>
      </c>
      <c r="T4" s="99">
        <f t="shared" si="4"/>
        <v>18</v>
      </c>
      <c r="U4" s="99">
        <f t="shared" si="4"/>
        <v>19</v>
      </c>
      <c r="V4" s="99">
        <f t="shared" si="4"/>
        <v>20</v>
      </c>
      <c r="W4" s="99">
        <f t="shared" si="4"/>
        <v>21</v>
      </c>
      <c r="X4" s="99">
        <f t="shared" si="4"/>
        <v>22</v>
      </c>
      <c r="Y4" s="99">
        <f t="shared" si="4"/>
        <v>23</v>
      </c>
      <c r="Z4" s="100">
        <f t="shared" si="4"/>
        <v>24</v>
      </c>
      <c r="AA4" s="100">
        <f>AA3+1</f>
        <v>25</v>
      </c>
      <c r="AB4" s="99">
        <f aca="true" t="shared" si="5" ref="AB4:AL4">AB3+1</f>
        <v>26</v>
      </c>
      <c r="AC4" s="99">
        <f t="shared" si="5"/>
        <v>27</v>
      </c>
      <c r="AD4" s="99">
        <f t="shared" si="5"/>
        <v>28</v>
      </c>
      <c r="AE4" s="99">
        <f t="shared" si="5"/>
        <v>29</v>
      </c>
      <c r="AF4" s="99">
        <f t="shared" si="5"/>
        <v>30</v>
      </c>
      <c r="AG4" s="99">
        <f t="shared" si="5"/>
        <v>31</v>
      </c>
      <c r="AH4" s="99">
        <f t="shared" si="5"/>
        <v>32</v>
      </c>
      <c r="AI4" s="99">
        <f t="shared" si="5"/>
        <v>33</v>
      </c>
      <c r="AJ4" s="99">
        <f t="shared" si="5"/>
        <v>34</v>
      </c>
      <c r="AK4" s="99">
        <f t="shared" si="5"/>
        <v>35</v>
      </c>
      <c r="AL4" s="100">
        <f t="shared" si="5"/>
        <v>36</v>
      </c>
      <c r="AM4" s="439"/>
      <c r="AN4" s="410"/>
    </row>
    <row r="5" spans="1:40" ht="15" customHeight="1">
      <c r="A5" s="30"/>
      <c r="B5" s="3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3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103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439"/>
      <c r="AN5" s="410"/>
    </row>
    <row r="6" spans="1:40" ht="15" customHeight="1">
      <c r="A6" s="38"/>
      <c r="B6" s="104" t="s">
        <v>78</v>
      </c>
      <c r="C6" s="465">
        <v>0</v>
      </c>
      <c r="D6" s="465">
        <f aca="true" t="shared" si="6" ref="D6:AL6">C7</f>
        <v>55433.333333333336</v>
      </c>
      <c r="E6" s="465">
        <f t="shared" si="6"/>
        <v>22357.81333333333</v>
      </c>
      <c r="F6" s="465">
        <f t="shared" si="6"/>
        <v>4531.673333333332</v>
      </c>
      <c r="G6" s="465">
        <f t="shared" si="6"/>
        <v>59524.613333333335</v>
      </c>
      <c r="H6" s="465">
        <f t="shared" si="6"/>
        <v>-56583.48666666667</v>
      </c>
      <c r="I6" s="465">
        <f t="shared" si="6"/>
        <v>-163012.77066666668</v>
      </c>
      <c r="J6" s="465">
        <f t="shared" si="6"/>
        <v>-99352.41146666667</v>
      </c>
      <c r="K6" s="465">
        <f t="shared" si="6"/>
        <v>-228504.49642666668</v>
      </c>
      <c r="L6" s="465">
        <f t="shared" si="6"/>
        <v>-349571.4343786667</v>
      </c>
      <c r="M6" s="465">
        <f t="shared" si="6"/>
        <v>-409436.11592106667</v>
      </c>
      <c r="N6" s="465">
        <f t="shared" si="6"/>
        <v>-532658.0097719467</v>
      </c>
      <c r="O6" s="465">
        <f t="shared" si="6"/>
        <v>-641908.4783930026</v>
      </c>
      <c r="P6" s="465">
        <f t="shared" si="6"/>
        <v>-752532.2781462698</v>
      </c>
      <c r="Q6" s="465">
        <f t="shared" si="6"/>
        <v>-755312.2638089694</v>
      </c>
      <c r="R6" s="465">
        <f t="shared" si="6"/>
        <v>-771864.0539720444</v>
      </c>
      <c r="S6" s="465">
        <f t="shared" si="6"/>
        <v>-777714.8290855325</v>
      </c>
      <c r="T6" s="465">
        <f t="shared" si="6"/>
        <v>-771794.487644475</v>
      </c>
      <c r="U6" s="465">
        <f t="shared" si="6"/>
        <v>-752925.9179934172</v>
      </c>
      <c r="V6" s="465">
        <f t="shared" si="6"/>
        <v>-719814.2973113596</v>
      </c>
      <c r="W6" s="465">
        <f t="shared" si="6"/>
        <v>-672035.3204952015</v>
      </c>
      <c r="X6" s="465">
        <f t="shared" si="6"/>
        <v>-607022.2519315332</v>
      </c>
      <c r="Y6" s="465">
        <f t="shared" si="6"/>
        <v>-539926.6824456039</v>
      </c>
      <c r="Z6" s="465">
        <f t="shared" si="6"/>
        <v>-451977.8619451871</v>
      </c>
      <c r="AA6" s="465">
        <f t="shared" si="6"/>
        <v>-341124.46532883425</v>
      </c>
      <c r="AB6" s="465">
        <f t="shared" si="6"/>
        <v>-274182.1627002853</v>
      </c>
      <c r="AC6" s="465">
        <f t="shared" si="6"/>
        <v>-206127.75101765714</v>
      </c>
      <c r="AD6" s="465">
        <f t="shared" si="6"/>
        <v>-135940.109190409</v>
      </c>
      <c r="AE6" s="465">
        <f t="shared" si="6"/>
        <v>-63597.90491709471</v>
      </c>
      <c r="AF6" s="465">
        <f t="shared" si="6"/>
        <v>10920.407426746213</v>
      </c>
      <c r="AG6" s="465">
        <f t="shared" si="6"/>
        <v>87636.5889218192</v>
      </c>
      <c r="AH6" s="465">
        <f t="shared" si="6"/>
        <v>166572.6182596365</v>
      </c>
      <c r="AI6" s="465">
        <f t="shared" si="6"/>
        <v>246750.69391862597</v>
      </c>
      <c r="AJ6" s="465">
        <f t="shared" si="6"/>
        <v>329193.2363619987</v>
      </c>
      <c r="AK6" s="465">
        <f t="shared" si="6"/>
        <v>413922.89025759895</v>
      </c>
      <c r="AL6" s="465">
        <f t="shared" si="6"/>
        <v>500962.52671994886</v>
      </c>
      <c r="AM6" s="439"/>
      <c r="AN6" s="410"/>
    </row>
    <row r="7" spans="1:41" ht="15" customHeight="1">
      <c r="A7" s="105"/>
      <c r="B7" s="106" t="s">
        <v>79</v>
      </c>
      <c r="C7" s="466">
        <f aca="true" t="shared" si="7" ref="C7:AL7">C6+C75</f>
        <v>55433.333333333336</v>
      </c>
      <c r="D7" s="466">
        <f t="shared" si="7"/>
        <v>22357.81333333333</v>
      </c>
      <c r="E7" s="466">
        <f t="shared" si="7"/>
        <v>4531.673333333332</v>
      </c>
      <c r="F7" s="466">
        <f t="shared" si="7"/>
        <v>59524.613333333335</v>
      </c>
      <c r="G7" s="466">
        <f t="shared" si="7"/>
        <v>-56583.48666666667</v>
      </c>
      <c r="H7" s="466">
        <f t="shared" si="7"/>
        <v>-163012.77066666668</v>
      </c>
      <c r="I7" s="466">
        <f t="shared" si="7"/>
        <v>-99352.41146666667</v>
      </c>
      <c r="J7" s="466">
        <f t="shared" si="7"/>
        <v>-228504.49642666668</v>
      </c>
      <c r="K7" s="466">
        <f t="shared" si="7"/>
        <v>-349571.4343786667</v>
      </c>
      <c r="L7" s="466">
        <f t="shared" si="7"/>
        <v>-409436.11592106667</v>
      </c>
      <c r="M7" s="466">
        <f t="shared" si="7"/>
        <v>-532658.0097719467</v>
      </c>
      <c r="N7" s="466">
        <f t="shared" si="7"/>
        <v>-641908.4783930026</v>
      </c>
      <c r="O7" s="466">
        <f t="shared" si="7"/>
        <v>-752532.2781462698</v>
      </c>
      <c r="P7" s="466">
        <f t="shared" si="7"/>
        <v>-755312.2638089694</v>
      </c>
      <c r="Q7" s="466">
        <f t="shared" si="7"/>
        <v>-771864.0539720444</v>
      </c>
      <c r="R7" s="466">
        <f t="shared" si="7"/>
        <v>-777714.8290855325</v>
      </c>
      <c r="S7" s="466">
        <f t="shared" si="7"/>
        <v>-771794.487644475</v>
      </c>
      <c r="T7" s="466">
        <f t="shared" si="7"/>
        <v>-752925.9179934172</v>
      </c>
      <c r="U7" s="466">
        <f t="shared" si="7"/>
        <v>-719814.2973113596</v>
      </c>
      <c r="V7" s="466">
        <f t="shared" si="7"/>
        <v>-672035.3204952015</v>
      </c>
      <c r="W7" s="466">
        <f t="shared" si="7"/>
        <v>-607022.2519315332</v>
      </c>
      <c r="X7" s="466">
        <f t="shared" si="7"/>
        <v>-539926.6824456039</v>
      </c>
      <c r="Y7" s="466">
        <f t="shared" si="7"/>
        <v>-451977.8619451871</v>
      </c>
      <c r="Z7" s="466">
        <f t="shared" si="7"/>
        <v>-341124.46532883425</v>
      </c>
      <c r="AA7" s="466">
        <f t="shared" si="7"/>
        <v>-274182.1627002853</v>
      </c>
      <c r="AB7" s="466">
        <f t="shared" si="7"/>
        <v>-206127.75101765714</v>
      </c>
      <c r="AC7" s="466">
        <f t="shared" si="7"/>
        <v>-135940.109190409</v>
      </c>
      <c r="AD7" s="466">
        <f t="shared" si="7"/>
        <v>-63597.90491709471</v>
      </c>
      <c r="AE7" s="466">
        <f t="shared" si="7"/>
        <v>10920.407426746213</v>
      </c>
      <c r="AF7" s="466">
        <f t="shared" si="7"/>
        <v>87636.5889218192</v>
      </c>
      <c r="AG7" s="466">
        <f t="shared" si="7"/>
        <v>166572.6182596365</v>
      </c>
      <c r="AH7" s="466">
        <f t="shared" si="7"/>
        <v>246750.69391862597</v>
      </c>
      <c r="AI7" s="466">
        <f t="shared" si="7"/>
        <v>329193.2363619987</v>
      </c>
      <c r="AJ7" s="466">
        <f t="shared" si="7"/>
        <v>413922.89025759895</v>
      </c>
      <c r="AK7" s="466">
        <f t="shared" si="7"/>
        <v>500962.52671994886</v>
      </c>
      <c r="AL7" s="466">
        <f t="shared" si="7"/>
        <v>590173.2455747159</v>
      </c>
      <c r="AM7" s="440"/>
      <c r="AN7" s="410"/>
      <c r="AO7" s="424"/>
    </row>
    <row r="8" spans="1:42" ht="15" customHeight="1">
      <c r="A8" s="53"/>
      <c r="B8" s="107" t="s">
        <v>80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173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173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  <c r="AM8" s="439"/>
      <c r="AN8" s="410"/>
      <c r="AP8" s="425"/>
    </row>
    <row r="9" spans="1:40" ht="15" customHeight="1">
      <c r="A9" s="40" t="s">
        <v>81</v>
      </c>
      <c r="B9" s="41"/>
      <c r="C9" s="174">
        <v>1</v>
      </c>
      <c r="D9" s="174">
        <v>2</v>
      </c>
      <c r="E9" s="174">
        <v>3</v>
      </c>
      <c r="F9" s="174">
        <v>4</v>
      </c>
      <c r="G9" s="174">
        <v>5</v>
      </c>
      <c r="H9" s="174">
        <v>6</v>
      </c>
      <c r="I9" s="174">
        <v>7</v>
      </c>
      <c r="J9" s="174">
        <v>8</v>
      </c>
      <c r="K9" s="174">
        <v>9</v>
      </c>
      <c r="L9" s="174">
        <v>10</v>
      </c>
      <c r="M9" s="174">
        <v>11</v>
      </c>
      <c r="N9" s="175">
        <v>12</v>
      </c>
      <c r="O9" s="176">
        <v>13</v>
      </c>
      <c r="P9" s="174">
        <v>14</v>
      </c>
      <c r="Q9" s="174">
        <v>15</v>
      </c>
      <c r="R9" s="174">
        <v>16</v>
      </c>
      <c r="S9" s="174">
        <v>17</v>
      </c>
      <c r="T9" s="174">
        <v>18</v>
      </c>
      <c r="U9" s="174">
        <v>19</v>
      </c>
      <c r="V9" s="174">
        <v>20</v>
      </c>
      <c r="W9" s="174">
        <v>21</v>
      </c>
      <c r="X9" s="174">
        <v>22</v>
      </c>
      <c r="Y9" s="174">
        <v>23</v>
      </c>
      <c r="Z9" s="175">
        <v>24</v>
      </c>
      <c r="AA9" s="176">
        <v>25</v>
      </c>
      <c r="AB9" s="174">
        <v>26</v>
      </c>
      <c r="AC9" s="174">
        <v>27</v>
      </c>
      <c r="AD9" s="174">
        <v>28</v>
      </c>
      <c r="AE9" s="174">
        <v>29</v>
      </c>
      <c r="AF9" s="174">
        <v>30</v>
      </c>
      <c r="AG9" s="174">
        <v>31</v>
      </c>
      <c r="AH9" s="174">
        <v>32</v>
      </c>
      <c r="AI9" s="174">
        <v>33</v>
      </c>
      <c r="AJ9" s="174">
        <v>34</v>
      </c>
      <c r="AK9" s="174">
        <v>35</v>
      </c>
      <c r="AL9" s="175">
        <v>36</v>
      </c>
      <c r="AM9" s="439"/>
      <c r="AN9" s="410"/>
    </row>
    <row r="10" spans="1:40" ht="15" customHeight="1">
      <c r="A10" s="46" t="s">
        <v>82</v>
      </c>
      <c r="B10" s="4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  <c r="O10" s="179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8"/>
      <c r="AA10" s="179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  <c r="AM10" s="439"/>
      <c r="AN10" s="410"/>
    </row>
    <row r="11" spans="1:45" ht="15" customHeight="1">
      <c r="A11" s="30"/>
      <c r="B11" s="63" t="s">
        <v>206</v>
      </c>
      <c r="C11" s="467">
        <f>'Sales and cost of sales'!B34</f>
        <v>6557.813333333335</v>
      </c>
      <c r="D11" s="467">
        <f>'Sales and cost of sales'!C34</f>
        <v>8473.86</v>
      </c>
      <c r="E11" s="467">
        <f>'Sales and cost of sales'!D34</f>
        <v>14222.940000000002</v>
      </c>
      <c r="F11" s="467">
        <f>'Sales and cost of sales'!E34</f>
        <v>16521.9</v>
      </c>
      <c r="G11" s="467">
        <f>'Sales and cost of sales'!F34</f>
        <v>19280.716</v>
      </c>
      <c r="H11" s="467">
        <f>'Sales and cost of sales'!G34</f>
        <v>22591.359200000006</v>
      </c>
      <c r="I11" s="467">
        <f>'Sales and cost of sales'!H34</f>
        <v>26764.115040000004</v>
      </c>
      <c r="J11" s="467">
        <f>'Sales and cost of sales'!I34</f>
        <v>31531.50204800001</v>
      </c>
      <c r="K11" s="467">
        <f>'Sales and cost of sales'!J34</f>
        <v>37252.4464576</v>
      </c>
      <c r="L11" s="467">
        <f>'Sales and cost of sales'!K34</f>
        <v>44117.65974912001</v>
      </c>
      <c r="M11" s="467">
        <f>'Sales and cost of sales'!L34</f>
        <v>52355.995698943996</v>
      </c>
      <c r="N11" s="467">
        <f>'Sales and cost of sales'!M34</f>
        <v>62242.07883873279</v>
      </c>
      <c r="O11" s="467">
        <f>'Sales and cost of sales'!N34</f>
        <v>167771.98078850046</v>
      </c>
      <c r="P11" s="467">
        <f>'Sales and cost of sales'!O34</f>
        <v>174954.87293324494</v>
      </c>
      <c r="Q11" s="467">
        <f>'Sales and cost of sales'!P34</f>
        <v>182856.05429246387</v>
      </c>
      <c r="R11" s="467">
        <f>'Sales and cost of sales'!Q34</f>
        <v>191547.35378760466</v>
      </c>
      <c r="S11" s="467">
        <f>'Sales and cost of sales'!R34</f>
        <v>201107.78323225956</v>
      </c>
      <c r="T11" s="467">
        <f>'Sales and cost of sales'!S34</f>
        <v>211624.25562137982</v>
      </c>
      <c r="U11" s="467">
        <f>'Sales and cost of sales'!T34</f>
        <v>222192.37524941226</v>
      </c>
      <c r="V11" s="467">
        <f>'Sales and cost of sales'!U34</f>
        <v>234917.30684024794</v>
      </c>
      <c r="W11" s="467">
        <f>'Sales and cost of sales'!V34</f>
        <v>248914.7315901671</v>
      </c>
      <c r="X11" s="467">
        <f>'Sales and cost of sales'!W34</f>
        <v>264311.8988150782</v>
      </c>
      <c r="Y11" s="467">
        <f>'Sales and cost of sales'!X34</f>
        <v>281248.78276248043</v>
      </c>
      <c r="Z11" s="467">
        <f>'Sales and cost of sales'!Y34</f>
        <v>299879.3551046228</v>
      </c>
      <c r="AA11" s="467">
        <f>'Sales and cost of sales'!Z34</f>
        <v>300918.84368346294</v>
      </c>
      <c r="AB11" s="467">
        <f>'Sales and cost of sales'!AA34</f>
        <v>302978.7271480912</v>
      </c>
      <c r="AC11" s="467">
        <f>'Sales and cost of sales'!AB34</f>
        <v>305059.20944736584</v>
      </c>
      <c r="AD11" s="467">
        <f>'Sales and cost of sales'!AC34</f>
        <v>307160.496569633</v>
      </c>
      <c r="AE11" s="467">
        <f>'Sales and cost of sales'!AD34</f>
        <v>309282.796563123</v>
      </c>
      <c r="AF11" s="467">
        <f>'Sales and cost of sales'!AE34</f>
        <v>311426.3195565479</v>
      </c>
      <c r="AG11" s="467">
        <f>'Sales and cost of sales'!AF34</f>
        <v>312591.2777799071</v>
      </c>
      <c r="AH11" s="467">
        <f>'Sales and cost of sales'!AG34</f>
        <v>314777.8855854998</v>
      </c>
      <c r="AI11" s="467">
        <f>'Sales and cost of sales'!AH34</f>
        <v>316986.35946914845</v>
      </c>
      <c r="AJ11" s="467">
        <f>'Sales and cost of sales'!AI34</f>
        <v>319216.9180916336</v>
      </c>
      <c r="AK11" s="467">
        <f>'Sales and cost of sales'!AJ34</f>
        <v>321469.7823003436</v>
      </c>
      <c r="AL11" s="467">
        <f>'Sales and cost of sales'!AK34</f>
        <v>323745.1751511408</v>
      </c>
      <c r="AM11" s="439"/>
      <c r="AN11" s="414"/>
      <c r="AS11" s="425"/>
    </row>
    <row r="12" spans="1:40" ht="15" customHeight="1">
      <c r="A12" s="108" t="s">
        <v>83</v>
      </c>
      <c r="B12" s="30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198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200"/>
      <c r="AA12" s="198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200"/>
      <c r="AM12" s="439"/>
      <c r="AN12" s="410"/>
    </row>
    <row r="13" spans="1:40" ht="15" customHeight="1">
      <c r="A13" s="30"/>
      <c r="B13" s="30" t="s">
        <v>232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  <c r="O13" s="195">
        <f>-O63</f>
        <v>-100000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4"/>
      <c r="AA13" s="195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4"/>
      <c r="AM13" s="439"/>
      <c r="AN13" s="410"/>
    </row>
    <row r="14" spans="1:40" ht="15" customHeight="1">
      <c r="A14" s="30"/>
      <c r="B14" s="422" t="s">
        <v>234</v>
      </c>
      <c r="C14" s="468">
        <f>C68</f>
        <v>26775.52</v>
      </c>
      <c r="D14" s="468">
        <f>D66+D67</f>
        <v>4750.619999999999</v>
      </c>
      <c r="E14" s="468">
        <f aca="true" t="shared" si="8" ref="E14:AL14">E66+E67</f>
        <v>14250.919999999998</v>
      </c>
      <c r="F14" s="468">
        <f t="shared" si="8"/>
        <v>5701.040000000001</v>
      </c>
      <c r="G14" s="468">
        <f t="shared" si="8"/>
        <v>6841.184000000001</v>
      </c>
      <c r="H14" s="468">
        <f t="shared" si="8"/>
        <v>8209.356799999994</v>
      </c>
      <c r="I14" s="468">
        <f t="shared" si="8"/>
        <v>14651.244160000002</v>
      </c>
      <c r="J14" s="468">
        <f t="shared" si="8"/>
        <v>11821.412991999998</v>
      </c>
      <c r="K14" s="468">
        <f t="shared" si="8"/>
        <v>14185.61559039999</v>
      </c>
      <c r="L14" s="468">
        <f t="shared" si="8"/>
        <v>17022.658708479998</v>
      </c>
      <c r="M14" s="468">
        <f t="shared" si="8"/>
        <v>20427.110450176</v>
      </c>
      <c r="N14" s="468">
        <f t="shared" si="8"/>
        <v>24512.452540211205</v>
      </c>
      <c r="O14" s="468">
        <f t="shared" si="8"/>
        <v>17609.219458232314</v>
      </c>
      <c r="P14" s="468">
        <f t="shared" si="8"/>
        <v>18270.141404055554</v>
      </c>
      <c r="Q14" s="468">
        <f t="shared" si="8"/>
        <v>20097.15554446113</v>
      </c>
      <c r="R14" s="468">
        <f t="shared" si="8"/>
        <v>22106.871098907257</v>
      </c>
      <c r="S14" s="468">
        <f t="shared" si="8"/>
        <v>24317.558208797884</v>
      </c>
      <c r="T14" s="468">
        <f t="shared" si="8"/>
        <v>26749.314029677887</v>
      </c>
      <c r="U14" s="468">
        <f t="shared" si="8"/>
        <v>30424.24543264543</v>
      </c>
      <c r="V14" s="468">
        <f t="shared" si="8"/>
        <v>32366.669975910103</v>
      </c>
      <c r="W14" s="468">
        <f t="shared" si="8"/>
        <v>35603.336973501195</v>
      </c>
      <c r="X14" s="468">
        <f t="shared" si="8"/>
        <v>39163.67067085119</v>
      </c>
      <c r="Y14" s="468">
        <f t="shared" si="8"/>
        <v>43080.03773793636</v>
      </c>
      <c r="Z14" s="468">
        <f t="shared" si="8"/>
        <v>47388.04151173006</v>
      </c>
      <c r="AA14" s="468">
        <f t="shared" si="8"/>
        <v>6222.55894508597</v>
      </c>
      <c r="AB14" s="468">
        <f t="shared" si="8"/>
        <v>5274.784534537001</v>
      </c>
      <c r="AC14" s="468">
        <f t="shared" si="8"/>
        <v>5327.532379882294</v>
      </c>
      <c r="AD14" s="468">
        <f t="shared" si="8"/>
        <v>5380.80770368129</v>
      </c>
      <c r="AE14" s="468">
        <f t="shared" si="8"/>
        <v>5434.615780717926</v>
      </c>
      <c r="AF14" s="468">
        <f t="shared" si="8"/>
        <v>5488.961938525084</v>
      </c>
      <c r="AG14" s="468">
        <f t="shared" si="8"/>
        <v>6543.8515579102095</v>
      </c>
      <c r="AH14" s="468">
        <f t="shared" si="8"/>
        <v>5599.290073489654</v>
      </c>
      <c r="AI14" s="468">
        <f t="shared" si="8"/>
        <v>5655.282974224305</v>
      </c>
      <c r="AJ14" s="468">
        <f t="shared" si="8"/>
        <v>5711.83580396662</v>
      </c>
      <c r="AK14" s="468">
        <f t="shared" si="8"/>
        <v>5768.954162006266</v>
      </c>
      <c r="AL14" s="468">
        <f t="shared" si="8"/>
        <v>5826.643703626236</v>
      </c>
      <c r="AM14" s="439"/>
      <c r="AN14" s="410"/>
    </row>
    <row r="15" spans="1:40" ht="15" customHeight="1">
      <c r="A15" s="30"/>
      <c r="B15" s="30" t="s">
        <v>209</v>
      </c>
      <c r="C15" s="469">
        <f>'Monthly Proforma P&amp;L'!C18</f>
        <v>0</v>
      </c>
      <c r="D15" s="469">
        <f>'Monthly Proforma P&amp;L'!D18</f>
        <v>0</v>
      </c>
      <c r="E15" s="469">
        <f>'Monthly Proforma P&amp;L'!E18</f>
        <v>0</v>
      </c>
      <c r="F15" s="469">
        <f>'Monthly Proforma P&amp;L'!F18</f>
        <v>-93980</v>
      </c>
      <c r="G15" s="469">
        <f>'Monthly Proforma P&amp;L'!G18</f>
        <v>-93980</v>
      </c>
      <c r="H15" s="469">
        <f>'Monthly Proforma P&amp;L'!H18</f>
        <v>-93980</v>
      </c>
      <c r="I15" s="469">
        <f>'Monthly Proforma P&amp;L'!I18</f>
        <v>-106355</v>
      </c>
      <c r="J15" s="469">
        <f>'Monthly Proforma P&amp;L'!J18</f>
        <v>-125730</v>
      </c>
      <c r="K15" s="469">
        <f>'Monthly Proforma P&amp;L'!K18</f>
        <v>-125730</v>
      </c>
      <c r="L15" s="469">
        <f>'Monthly Proforma P&amp;L'!L18</f>
        <v>-148855</v>
      </c>
      <c r="M15" s="469">
        <f>'Monthly Proforma P&amp;L'!M18</f>
        <v>-148855</v>
      </c>
      <c r="N15" s="469">
        <f>'Monthly Proforma P&amp;L'!N18</f>
        <v>-148855</v>
      </c>
      <c r="O15" s="469">
        <f>'Monthly Proforma P&amp;L'!O18</f>
        <v>-148855</v>
      </c>
      <c r="P15" s="469">
        <f>'Monthly Proforma P&amp;L'!P18</f>
        <v>-148855</v>
      </c>
      <c r="Q15" s="469">
        <f>'Monthly Proforma P&amp;L'!Q18</f>
        <v>-171980</v>
      </c>
      <c r="R15" s="469">
        <f>'Monthly Proforma P&amp;L'!R18</f>
        <v>-171980</v>
      </c>
      <c r="S15" s="469">
        <f>'Monthly Proforma P&amp;L'!S18</f>
        <v>-171980</v>
      </c>
      <c r="T15" s="469">
        <f>'Monthly Proforma P&amp;L'!T18</f>
        <v>-171980</v>
      </c>
      <c r="U15" s="469">
        <f>'Monthly Proforma P&amp;L'!U18</f>
        <v>-171980</v>
      </c>
      <c r="V15" s="469">
        <f>'Monthly Proforma P&amp;L'!V18</f>
        <v>-171980</v>
      </c>
      <c r="W15" s="469">
        <f>'Monthly Proforma P&amp;L'!W18</f>
        <v>-171980</v>
      </c>
      <c r="X15" s="469">
        <f>'Monthly Proforma P&amp;L'!X18</f>
        <v>-188480</v>
      </c>
      <c r="Y15" s="469">
        <f>'Monthly Proforma P&amp;L'!Y18</f>
        <v>-188480</v>
      </c>
      <c r="Z15" s="469">
        <f>'Monthly Proforma P&amp;L'!Z18</f>
        <v>-188480</v>
      </c>
      <c r="AA15" s="469">
        <f>'Monthly Proforma P&amp;L'!AA18</f>
        <v>-192249.6</v>
      </c>
      <c r="AB15" s="469">
        <f>'Monthly Proforma P&amp;L'!AB18</f>
        <v>-192249.6</v>
      </c>
      <c r="AC15" s="469">
        <f>'Monthly Proforma P&amp;L'!AC18</f>
        <v>-192249.6</v>
      </c>
      <c r="AD15" s="469">
        <f>'Monthly Proforma P&amp;L'!AD18</f>
        <v>-192249.6</v>
      </c>
      <c r="AE15" s="469">
        <f>'Monthly Proforma P&amp;L'!AE18</f>
        <v>-192249.6</v>
      </c>
      <c r="AF15" s="469">
        <f>'Monthly Proforma P&amp;L'!AF18</f>
        <v>-192249.6</v>
      </c>
      <c r="AG15" s="469">
        <f>'Monthly Proforma P&amp;L'!AG18</f>
        <v>-192249.6</v>
      </c>
      <c r="AH15" s="469">
        <f>'Monthly Proforma P&amp;L'!AH18</f>
        <v>-192249.6</v>
      </c>
      <c r="AI15" s="469">
        <f>'Monthly Proforma P&amp;L'!AI18</f>
        <v>-192249.6</v>
      </c>
      <c r="AJ15" s="469">
        <f>'Monthly Proforma P&amp;L'!AJ18</f>
        <v>-192249.6</v>
      </c>
      <c r="AK15" s="469">
        <f>'Monthly Proforma P&amp;L'!AK18</f>
        <v>-192249.6</v>
      </c>
      <c r="AL15" s="469">
        <f>'Monthly Proforma P&amp;L'!AL18</f>
        <v>-192249.6</v>
      </c>
      <c r="AM15" s="439"/>
      <c r="AN15" s="414"/>
    </row>
    <row r="16" spans="1:40" ht="15" customHeight="1">
      <c r="A16" s="30"/>
      <c r="B16" s="30" t="s">
        <v>210</v>
      </c>
      <c r="C16" s="469">
        <f>'Monthly Proforma P&amp;L'!C19</f>
        <v>-8600</v>
      </c>
      <c r="D16" s="469">
        <f>'Monthly Proforma P&amp;L'!D19</f>
        <v>-2000</v>
      </c>
      <c r="E16" s="469">
        <f>'Monthly Proforma P&amp;L'!E19</f>
        <v>-2000</v>
      </c>
      <c r="F16" s="469">
        <f>'Monthly Proforma P&amp;L'!F19</f>
        <v>-2000</v>
      </c>
      <c r="G16" s="469">
        <f>'Monthly Proforma P&amp;L'!G19</f>
        <v>-2000</v>
      </c>
      <c r="H16" s="469">
        <f>'Monthly Proforma P&amp;L'!H19</f>
        <v>-2000</v>
      </c>
      <c r="I16" s="469">
        <f>'Monthly Proforma P&amp;L'!I19</f>
        <v>-2000</v>
      </c>
      <c r="J16" s="469">
        <f>'Monthly Proforma P&amp;L'!J19</f>
        <v>-2000</v>
      </c>
      <c r="K16" s="469">
        <f>'Monthly Proforma P&amp;L'!K19</f>
        <v>-2000</v>
      </c>
      <c r="L16" s="469">
        <f>'Monthly Proforma P&amp;L'!L19</f>
        <v>-2000</v>
      </c>
      <c r="M16" s="469">
        <f>'Monthly Proforma P&amp;L'!M19</f>
        <v>-2000</v>
      </c>
      <c r="N16" s="469">
        <f>'Monthly Proforma P&amp;L'!N19</f>
        <v>-2000</v>
      </c>
      <c r="O16" s="469">
        <f>'Monthly Proforma P&amp;L'!O19</f>
        <v>-2000</v>
      </c>
      <c r="P16" s="469">
        <f>'Monthly Proforma P&amp;L'!P19</f>
        <v>-2000</v>
      </c>
      <c r="Q16" s="469">
        <f>'Monthly Proforma P&amp;L'!Q19</f>
        <v>-2000</v>
      </c>
      <c r="R16" s="469">
        <f>'Monthly Proforma P&amp;L'!R19</f>
        <v>-2000</v>
      </c>
      <c r="S16" s="469">
        <f>'Monthly Proforma P&amp;L'!S19</f>
        <v>-2000</v>
      </c>
      <c r="T16" s="469">
        <f>'Monthly Proforma P&amp;L'!T19</f>
        <v>-2000</v>
      </c>
      <c r="U16" s="469">
        <f>'Monthly Proforma P&amp;L'!U19</f>
        <v>-2000</v>
      </c>
      <c r="V16" s="469">
        <f>'Monthly Proforma P&amp;L'!V19</f>
        <v>-2000</v>
      </c>
      <c r="W16" s="469">
        <f>'Monthly Proforma P&amp;L'!W19</f>
        <v>-2000</v>
      </c>
      <c r="X16" s="469">
        <f>'Monthly Proforma P&amp;L'!X19</f>
        <v>-2000</v>
      </c>
      <c r="Y16" s="469">
        <f>'Monthly Proforma P&amp;L'!Y19</f>
        <v>-2000</v>
      </c>
      <c r="Z16" s="469">
        <f>'Monthly Proforma P&amp;L'!Z19</f>
        <v>-2000</v>
      </c>
      <c r="AA16" s="469">
        <f>'Monthly Proforma P&amp;L'!AA19</f>
        <v>-2000</v>
      </c>
      <c r="AB16" s="469">
        <f>'Monthly Proforma P&amp;L'!AB19</f>
        <v>-2000</v>
      </c>
      <c r="AC16" s="469">
        <f>'Monthly Proforma P&amp;L'!AC19</f>
        <v>-2000</v>
      </c>
      <c r="AD16" s="469">
        <f>'Monthly Proforma P&amp;L'!AD19</f>
        <v>-2000</v>
      </c>
      <c r="AE16" s="469">
        <f>'Monthly Proforma P&amp;L'!AE19</f>
        <v>-2000</v>
      </c>
      <c r="AF16" s="469">
        <f>'Monthly Proforma P&amp;L'!AF19</f>
        <v>-2000</v>
      </c>
      <c r="AG16" s="469">
        <f>'Monthly Proforma P&amp;L'!AG19</f>
        <v>-2000</v>
      </c>
      <c r="AH16" s="469">
        <f>'Monthly Proforma P&amp;L'!AH19</f>
        <v>-2000</v>
      </c>
      <c r="AI16" s="469">
        <f>'Monthly Proforma P&amp;L'!AI19</f>
        <v>-2000</v>
      </c>
      <c r="AJ16" s="469">
        <f>'Monthly Proforma P&amp;L'!AJ19</f>
        <v>-2000</v>
      </c>
      <c r="AK16" s="469">
        <f>'Monthly Proforma P&amp;L'!AK19</f>
        <v>-2000</v>
      </c>
      <c r="AL16" s="469">
        <f>'Monthly Proforma P&amp;L'!AL19</f>
        <v>-2000</v>
      </c>
      <c r="AM16" s="439"/>
      <c r="AN16" s="414"/>
    </row>
    <row r="17" spans="1:40" ht="15" customHeight="1">
      <c r="A17" s="30"/>
      <c r="B17" s="30" t="s">
        <v>211</v>
      </c>
      <c r="C17" s="469">
        <f>'Monthly Proforma P&amp;L'!C20</f>
        <v>-35000</v>
      </c>
      <c r="D17" s="469">
        <f>'Monthly Proforma P&amp;L'!D20</f>
        <v>-35000</v>
      </c>
      <c r="E17" s="469">
        <f>'Monthly Proforma P&amp;L'!E20</f>
        <v>-35000</v>
      </c>
      <c r="F17" s="469">
        <f>'Monthly Proforma P&amp;L'!F20</f>
        <v>-35000</v>
      </c>
      <c r="G17" s="469">
        <f>'Monthly Proforma P&amp;L'!G20</f>
        <v>-35000</v>
      </c>
      <c r="H17" s="469">
        <f>'Monthly Proforma P&amp;L'!H20</f>
        <v>-35000</v>
      </c>
      <c r="I17" s="469">
        <f>'Monthly Proforma P&amp;L'!I20</f>
        <v>-35000</v>
      </c>
      <c r="J17" s="469">
        <f>'Monthly Proforma P&amp;L'!J20</f>
        <v>-35000</v>
      </c>
      <c r="K17" s="469">
        <f>'Monthly Proforma P&amp;L'!K20</f>
        <v>-35000</v>
      </c>
      <c r="L17" s="469">
        <f>'Monthly Proforma P&amp;L'!L20</f>
        <v>-35000</v>
      </c>
      <c r="M17" s="469">
        <f>'Monthly Proforma P&amp;L'!M20</f>
        <v>-35000</v>
      </c>
      <c r="N17" s="469">
        <f>'Monthly Proforma P&amp;L'!N20</f>
        <v>-35000</v>
      </c>
      <c r="O17" s="469">
        <f>'Monthly Proforma P&amp;L'!O20</f>
        <v>-35000</v>
      </c>
      <c r="P17" s="469">
        <f>'Monthly Proforma P&amp;L'!P20</f>
        <v>-35000</v>
      </c>
      <c r="Q17" s="469">
        <f>'Monthly Proforma P&amp;L'!Q20</f>
        <v>-35000</v>
      </c>
      <c r="R17" s="469">
        <f>'Monthly Proforma P&amp;L'!R20</f>
        <v>-35000</v>
      </c>
      <c r="S17" s="469">
        <f>'Monthly Proforma P&amp;L'!S20</f>
        <v>-35000</v>
      </c>
      <c r="T17" s="469">
        <f>'Monthly Proforma P&amp;L'!T20</f>
        <v>-35000</v>
      </c>
      <c r="U17" s="469">
        <f>'Monthly Proforma P&amp;L'!U20</f>
        <v>-35000</v>
      </c>
      <c r="V17" s="469">
        <f>'Monthly Proforma P&amp;L'!V20</f>
        <v>-35000</v>
      </c>
      <c r="W17" s="469">
        <f>'Monthly Proforma P&amp;L'!W20</f>
        <v>-35000</v>
      </c>
      <c r="X17" s="469">
        <f>'Monthly Proforma P&amp;L'!X20</f>
        <v>-35000</v>
      </c>
      <c r="Y17" s="469">
        <f>'Monthly Proforma P&amp;L'!Y20</f>
        <v>-35000</v>
      </c>
      <c r="Z17" s="469">
        <f>'Monthly Proforma P&amp;L'!Z20</f>
        <v>-35000</v>
      </c>
      <c r="AA17" s="469">
        <f>'Monthly Proforma P&amp;L'!AA20</f>
        <v>-35000</v>
      </c>
      <c r="AB17" s="469">
        <f>'Monthly Proforma P&amp;L'!AB20</f>
        <v>-35000</v>
      </c>
      <c r="AC17" s="469">
        <f>'Monthly Proforma P&amp;L'!AC20</f>
        <v>-35000</v>
      </c>
      <c r="AD17" s="469">
        <f>'Monthly Proforma P&amp;L'!AD20</f>
        <v>-35000</v>
      </c>
      <c r="AE17" s="469">
        <f>'Monthly Proforma P&amp;L'!AE20</f>
        <v>-35000</v>
      </c>
      <c r="AF17" s="469">
        <f>'Monthly Proforma P&amp;L'!AF20</f>
        <v>-35000</v>
      </c>
      <c r="AG17" s="469">
        <f>'Monthly Proforma P&amp;L'!AG20</f>
        <v>-35000</v>
      </c>
      <c r="AH17" s="469">
        <f>'Monthly Proforma P&amp;L'!AH20</f>
        <v>-35000</v>
      </c>
      <c r="AI17" s="469">
        <f>'Monthly Proforma P&amp;L'!AI20</f>
        <v>-35000</v>
      </c>
      <c r="AJ17" s="469">
        <f>'Monthly Proforma P&amp;L'!AJ20</f>
        <v>-35000</v>
      </c>
      <c r="AK17" s="469">
        <f>'Monthly Proforma P&amp;L'!AK20</f>
        <v>-35000</v>
      </c>
      <c r="AL17" s="469">
        <f>'Monthly Proforma P&amp;L'!AL20</f>
        <v>-35000</v>
      </c>
      <c r="AM17" s="439"/>
      <c r="AN17" s="414"/>
    </row>
    <row r="18" spans="1:40" ht="15" customHeight="1">
      <c r="A18" s="30"/>
      <c r="B18" s="30" t="s">
        <v>212</v>
      </c>
      <c r="C18" s="469">
        <f>'Monthly Proforma P&amp;L'!C21</f>
        <v>-525</v>
      </c>
      <c r="D18" s="469">
        <f>'Monthly Proforma P&amp;L'!D21</f>
        <v>-525</v>
      </c>
      <c r="E18" s="469">
        <f>'Monthly Proforma P&amp;L'!E21</f>
        <v>-525</v>
      </c>
      <c r="F18" s="469">
        <f>'Monthly Proforma P&amp;L'!F21</f>
        <v>-2475</v>
      </c>
      <c r="G18" s="469">
        <f>'Monthly Proforma P&amp;L'!G21</f>
        <v>-2475</v>
      </c>
      <c r="H18" s="469">
        <f>'Monthly Proforma P&amp;L'!H21</f>
        <v>-2475</v>
      </c>
      <c r="I18" s="469">
        <f>'Monthly Proforma P&amp;L'!I21</f>
        <v>-5625</v>
      </c>
      <c r="J18" s="469">
        <f>'Monthly Proforma P&amp;L'!J21</f>
        <v>-6000</v>
      </c>
      <c r="K18" s="469">
        <f>'Monthly Proforma P&amp;L'!K21</f>
        <v>-6000</v>
      </c>
      <c r="L18" s="469">
        <f>'Monthly Proforma P&amp;L'!L21</f>
        <v>-6375</v>
      </c>
      <c r="M18" s="469">
        <f>'Monthly Proforma P&amp;L'!M21</f>
        <v>-6375</v>
      </c>
      <c r="N18" s="469">
        <f>'Monthly Proforma P&amp;L'!N21</f>
        <v>-6375</v>
      </c>
      <c r="O18" s="469">
        <f>'Monthly Proforma P&amp;L'!O21</f>
        <v>-6375</v>
      </c>
      <c r="P18" s="469">
        <f>'Monthly Proforma P&amp;L'!P21</f>
        <v>-6375</v>
      </c>
      <c r="Q18" s="469">
        <f>'Monthly Proforma P&amp;L'!Q21</f>
        <v>-6750</v>
      </c>
      <c r="R18" s="469">
        <f>'Monthly Proforma P&amp;L'!R21</f>
        <v>-6750</v>
      </c>
      <c r="S18" s="469">
        <f>'Monthly Proforma P&amp;L'!S21</f>
        <v>-6750</v>
      </c>
      <c r="T18" s="469">
        <f>'Monthly Proforma P&amp;L'!T21</f>
        <v>-6750</v>
      </c>
      <c r="U18" s="469">
        <f>'Monthly Proforma P&amp;L'!U21</f>
        <v>-6750</v>
      </c>
      <c r="V18" s="469">
        <f>'Monthly Proforma P&amp;L'!V21</f>
        <v>-6750</v>
      </c>
      <c r="W18" s="469">
        <f>'Monthly Proforma P&amp;L'!W21</f>
        <v>-6750</v>
      </c>
      <c r="X18" s="469">
        <f>'Monthly Proforma P&amp;L'!X21</f>
        <v>-7125</v>
      </c>
      <c r="Y18" s="469">
        <f>'Monthly Proforma P&amp;L'!Y21</f>
        <v>-7125</v>
      </c>
      <c r="Z18" s="469">
        <f>'Monthly Proforma P&amp;L'!Z21</f>
        <v>-7125</v>
      </c>
      <c r="AA18" s="469">
        <f>'Monthly Proforma P&amp;L'!AA21</f>
        <v>-7174.500000000002</v>
      </c>
      <c r="AB18" s="469">
        <f>'Monthly Proforma P&amp;L'!AB21</f>
        <v>-7174.500000000002</v>
      </c>
      <c r="AC18" s="469">
        <f>'Monthly Proforma P&amp;L'!AC21</f>
        <v>-7174.500000000002</v>
      </c>
      <c r="AD18" s="469">
        <f>'Monthly Proforma P&amp;L'!AD21</f>
        <v>-7174.500000000002</v>
      </c>
      <c r="AE18" s="469">
        <f>'Monthly Proforma P&amp;L'!AE21</f>
        <v>-7174.500000000002</v>
      </c>
      <c r="AF18" s="469">
        <f>'Monthly Proforma P&amp;L'!AF21</f>
        <v>-7174.500000000002</v>
      </c>
      <c r="AG18" s="469">
        <f>'Monthly Proforma P&amp;L'!AG21</f>
        <v>-7174.500000000002</v>
      </c>
      <c r="AH18" s="469">
        <f>'Monthly Proforma P&amp;L'!AH21</f>
        <v>-7174.500000000002</v>
      </c>
      <c r="AI18" s="469">
        <f>'Monthly Proforma P&amp;L'!AI21</f>
        <v>-7174.500000000002</v>
      </c>
      <c r="AJ18" s="469">
        <f>'Monthly Proforma P&amp;L'!AJ21</f>
        <v>-7174.500000000002</v>
      </c>
      <c r="AK18" s="469">
        <f>'Monthly Proforma P&amp;L'!AK21</f>
        <v>-7174.500000000002</v>
      </c>
      <c r="AL18" s="469">
        <f>'Monthly Proforma P&amp;L'!AL21</f>
        <v>-7174.500000000002</v>
      </c>
      <c r="AM18" s="439"/>
      <c r="AN18" s="414"/>
    </row>
    <row r="19" spans="1:40" ht="15" customHeight="1">
      <c r="A19" s="30"/>
      <c r="B19" s="30" t="s">
        <v>213</v>
      </c>
      <c r="C19" s="469">
        <f>'Monthly Proforma P&amp;L'!C22</f>
        <v>-3775</v>
      </c>
      <c r="D19" s="469">
        <f>'Monthly Proforma P&amp;L'!D22</f>
        <v>-3775</v>
      </c>
      <c r="E19" s="469">
        <f>'Monthly Proforma P&amp;L'!E22</f>
        <v>-3775</v>
      </c>
      <c r="F19" s="469">
        <f>'Monthly Proforma P&amp;L'!F22</f>
        <v>-3775</v>
      </c>
      <c r="G19" s="469">
        <f>'Monthly Proforma P&amp;L'!G22</f>
        <v>-3775</v>
      </c>
      <c r="H19" s="469">
        <f>'Monthly Proforma P&amp;L'!H22</f>
        <v>-3775</v>
      </c>
      <c r="I19" s="469">
        <f>'Monthly Proforma P&amp;L'!I22</f>
        <v>-3775</v>
      </c>
      <c r="J19" s="469">
        <f>'Monthly Proforma P&amp;L'!J22</f>
        <v>-3775</v>
      </c>
      <c r="K19" s="469">
        <f>'Monthly Proforma P&amp;L'!K22</f>
        <v>-3775</v>
      </c>
      <c r="L19" s="469">
        <f>'Monthly Proforma P&amp;L'!L22</f>
        <v>-3775</v>
      </c>
      <c r="M19" s="469">
        <f>'Monthly Proforma P&amp;L'!M22</f>
        <v>-3775</v>
      </c>
      <c r="N19" s="469">
        <f>'Monthly Proforma P&amp;L'!N22</f>
        <v>-3775</v>
      </c>
      <c r="O19" s="469">
        <f>'Monthly Proforma P&amp;L'!O22</f>
        <v>-3775</v>
      </c>
      <c r="P19" s="469">
        <f>'Monthly Proforma P&amp;L'!P22</f>
        <v>-3775</v>
      </c>
      <c r="Q19" s="469">
        <f>'Monthly Proforma P&amp;L'!Q22</f>
        <v>-3775</v>
      </c>
      <c r="R19" s="469">
        <f>'Monthly Proforma P&amp;L'!R22</f>
        <v>-3775</v>
      </c>
      <c r="S19" s="469">
        <f>'Monthly Proforma P&amp;L'!S22</f>
        <v>-3775</v>
      </c>
      <c r="T19" s="469">
        <f>'Monthly Proforma P&amp;L'!T22</f>
        <v>-3775</v>
      </c>
      <c r="U19" s="469">
        <f>'Monthly Proforma P&amp;L'!U22</f>
        <v>-3775</v>
      </c>
      <c r="V19" s="469">
        <f>'Monthly Proforma P&amp;L'!V22</f>
        <v>-3775</v>
      </c>
      <c r="W19" s="469">
        <f>'Monthly Proforma P&amp;L'!W22</f>
        <v>-3775</v>
      </c>
      <c r="X19" s="469">
        <f>'Monthly Proforma P&amp;L'!X22</f>
        <v>-3775</v>
      </c>
      <c r="Y19" s="469">
        <f>'Monthly Proforma P&amp;L'!Y22</f>
        <v>-3775</v>
      </c>
      <c r="Z19" s="469">
        <f>'Monthly Proforma P&amp;L'!Z22</f>
        <v>-3775</v>
      </c>
      <c r="AA19" s="469">
        <f>'Monthly Proforma P&amp;L'!AA22</f>
        <v>-3775</v>
      </c>
      <c r="AB19" s="469">
        <f>'Monthly Proforma P&amp;L'!AB22</f>
        <v>-3775</v>
      </c>
      <c r="AC19" s="469">
        <f>'Monthly Proforma P&amp;L'!AC22</f>
        <v>-3775</v>
      </c>
      <c r="AD19" s="469">
        <f>'Monthly Proforma P&amp;L'!AD22</f>
        <v>-3775</v>
      </c>
      <c r="AE19" s="469">
        <f>'Monthly Proforma P&amp;L'!AE22</f>
        <v>-3775</v>
      </c>
      <c r="AF19" s="469">
        <f>'Monthly Proforma P&amp;L'!AF22</f>
        <v>-3775</v>
      </c>
      <c r="AG19" s="469">
        <f>'Monthly Proforma P&amp;L'!AG22</f>
        <v>-3775</v>
      </c>
      <c r="AH19" s="469">
        <f>'Monthly Proforma P&amp;L'!AH22</f>
        <v>-3775</v>
      </c>
      <c r="AI19" s="469">
        <f>'Monthly Proforma P&amp;L'!AI22</f>
        <v>-3775</v>
      </c>
      <c r="AJ19" s="469">
        <f>'Monthly Proforma P&amp;L'!AJ22</f>
        <v>-3775</v>
      </c>
      <c r="AK19" s="469">
        <f>'Monthly Proforma P&amp;L'!AK22</f>
        <v>-3775</v>
      </c>
      <c r="AL19" s="469">
        <f>'Monthly Proforma P&amp;L'!AL22</f>
        <v>-3775</v>
      </c>
      <c r="AM19" s="439"/>
      <c r="AN19" s="414"/>
    </row>
    <row r="20" spans="1:40" ht="15" customHeight="1">
      <c r="A20" s="30"/>
      <c r="B20" s="422" t="s">
        <v>246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>
        <v>-34</v>
      </c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>
        <v>-162</v>
      </c>
      <c r="AM20" s="439"/>
      <c r="AN20" s="414"/>
    </row>
    <row r="21" spans="1:40" ht="12.75" customHeight="1" hidden="1">
      <c r="A21" s="30"/>
      <c r="B21" s="30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5"/>
      <c r="O21" s="273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2"/>
      <c r="AA21" s="273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2"/>
      <c r="AM21" s="439"/>
      <c r="AN21" s="414"/>
    </row>
    <row r="22" spans="1:40" ht="12.75" customHeight="1" hidden="1">
      <c r="A22" s="30"/>
      <c r="B22" s="30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  <c r="O22" s="273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2"/>
      <c r="AA22" s="273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2"/>
      <c r="AM22" s="439"/>
      <c r="AN22" s="410"/>
    </row>
    <row r="23" spans="1:40" ht="12.75" customHeight="1" hidden="1">
      <c r="A23" s="30"/>
      <c r="B23" s="30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5"/>
      <c r="O23" s="273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2"/>
      <c r="AA23" s="273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2"/>
      <c r="AM23" s="439"/>
      <c r="AN23" s="410"/>
    </row>
    <row r="24" spans="1:40" ht="12.75" customHeight="1" hidden="1">
      <c r="A24" s="30"/>
      <c r="B24" s="30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273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2"/>
      <c r="AA24" s="273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2"/>
      <c r="AM24" s="439"/>
      <c r="AN24" s="410"/>
    </row>
    <row r="25" spans="1:40" ht="12.75" customHeight="1" hidden="1">
      <c r="A25" s="30"/>
      <c r="B25" s="30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5"/>
      <c r="O25" s="273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2"/>
      <c r="AA25" s="273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2"/>
      <c r="AM25" s="439"/>
      <c r="AN25" s="410"/>
    </row>
    <row r="26" spans="1:40" ht="12.75" customHeight="1" hidden="1">
      <c r="A26" s="30"/>
      <c r="B26" s="30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5"/>
      <c r="O26" s="273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2"/>
      <c r="AA26" s="273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2"/>
      <c r="AM26" s="439"/>
      <c r="AN26" s="410"/>
    </row>
    <row r="27" spans="1:40" ht="12.75" customHeight="1" hidden="1">
      <c r="A27" s="30"/>
      <c r="B27" s="30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5"/>
      <c r="O27" s="273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2"/>
      <c r="AA27" s="273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2"/>
      <c r="AM27" s="439"/>
      <c r="AN27" s="410"/>
    </row>
    <row r="28" spans="1:40" ht="12.75" customHeight="1" hidden="1">
      <c r="A28" s="30"/>
      <c r="B28" s="30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273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2"/>
      <c r="AA28" s="273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2"/>
      <c r="AM28" s="439"/>
      <c r="AN28" s="410"/>
    </row>
    <row r="29" spans="1:40" ht="15" customHeight="1" hidden="1">
      <c r="A29" s="38"/>
      <c r="B29" s="30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9"/>
      <c r="O29" s="280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2"/>
      <c r="AA29" s="280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2"/>
      <c r="AM29" s="439"/>
      <c r="AN29" s="414"/>
    </row>
    <row r="30" spans="1:40" ht="12.75" customHeight="1" hidden="1">
      <c r="A30" s="31"/>
      <c r="B30" s="31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423"/>
      <c r="AN30" s="410"/>
    </row>
    <row r="31" spans="1:40" ht="12.75" customHeight="1" hidden="1">
      <c r="A31" s="31"/>
      <c r="B31" s="31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423"/>
      <c r="AN31" s="410"/>
    </row>
    <row r="32" spans="1:40" ht="12.75" customHeight="1" hidden="1">
      <c r="A32" s="30"/>
      <c r="B32" s="109"/>
      <c r="C32" s="276"/>
      <c r="D32" s="276"/>
      <c r="E32" s="276"/>
      <c r="F32" s="276"/>
      <c r="G32" s="276"/>
      <c r="H32" s="276"/>
      <c r="I32" s="276"/>
      <c r="J32" s="276"/>
      <c r="K32" s="276"/>
      <c r="L32" s="274"/>
      <c r="M32" s="276"/>
      <c r="N32" s="277"/>
      <c r="O32" s="273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2"/>
      <c r="AA32" s="273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2"/>
      <c r="AM32" s="439"/>
      <c r="AN32" s="410"/>
    </row>
    <row r="33" spans="1:40" ht="12.75" customHeight="1" hidden="1">
      <c r="A33" s="30"/>
      <c r="B33" s="55"/>
      <c r="C33" s="286"/>
      <c r="D33" s="286"/>
      <c r="E33" s="286"/>
      <c r="F33" s="286"/>
      <c r="G33" s="286"/>
      <c r="H33" s="286"/>
      <c r="I33" s="286"/>
      <c r="J33" s="286"/>
      <c r="K33" s="287"/>
      <c r="L33" s="288"/>
      <c r="M33" s="286"/>
      <c r="N33" s="289"/>
      <c r="O33" s="273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2"/>
      <c r="AA33" s="273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2"/>
      <c r="AM33" s="439"/>
      <c r="AN33" s="414"/>
    </row>
    <row r="34" spans="1:40" ht="12.75" customHeight="1" hidden="1">
      <c r="A34" s="30"/>
      <c r="B34" s="55"/>
      <c r="C34" s="286"/>
      <c r="D34" s="286"/>
      <c r="E34" s="286"/>
      <c r="F34" s="286"/>
      <c r="G34" s="286"/>
      <c r="H34" s="286"/>
      <c r="I34" s="286"/>
      <c r="J34" s="286"/>
      <c r="K34" s="287"/>
      <c r="L34" s="290"/>
      <c r="M34" s="286"/>
      <c r="N34" s="289"/>
      <c r="O34" s="273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2"/>
      <c r="AA34" s="273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2"/>
      <c r="AM34" s="439"/>
      <c r="AN34" s="414"/>
    </row>
    <row r="35" spans="1:40" ht="12.75" customHeight="1" hidden="1">
      <c r="A35" s="30"/>
      <c r="B35" s="110"/>
      <c r="C35" s="286"/>
      <c r="D35" s="286"/>
      <c r="E35" s="286"/>
      <c r="F35" s="286"/>
      <c r="G35" s="286"/>
      <c r="H35" s="286"/>
      <c r="I35" s="286"/>
      <c r="J35" s="286"/>
      <c r="K35" s="286">
        <v>0</v>
      </c>
      <c r="L35" s="286">
        <v>0</v>
      </c>
      <c r="M35" s="286">
        <v>0</v>
      </c>
      <c r="N35" s="289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71"/>
      <c r="Y35" s="271"/>
      <c r="Z35" s="272"/>
      <c r="AA35" s="273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2"/>
      <c r="AM35" s="439"/>
      <c r="AN35" s="414"/>
    </row>
    <row r="36" spans="1:40" ht="12.75" customHeight="1" hidden="1">
      <c r="A36" s="31"/>
      <c r="B36" s="31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423"/>
      <c r="AN36" s="410"/>
    </row>
    <row r="37" spans="1:40" ht="12.75" customHeight="1" hidden="1">
      <c r="A37" s="38"/>
      <c r="B37" s="38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2"/>
      <c r="O37" s="293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5"/>
      <c r="AA37" s="293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5"/>
      <c r="AM37" s="439"/>
      <c r="AN37" s="414"/>
    </row>
    <row r="38" spans="1:40" ht="12.75" customHeight="1">
      <c r="A38" s="74"/>
      <c r="B38" s="74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0"/>
      <c r="AN38" s="414"/>
    </row>
    <row r="39" spans="1:40" ht="12.75" customHeight="1">
      <c r="A39" s="74"/>
      <c r="B39" s="74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0"/>
      <c r="AN39" s="414"/>
    </row>
    <row r="40" spans="1:40" ht="15" customHeight="1">
      <c r="A40" s="408" t="s">
        <v>85</v>
      </c>
      <c r="B40" s="112"/>
      <c r="C40" s="409">
        <f aca="true" t="shared" si="9" ref="C40:AL40">SUM(C11:C35)</f>
        <v>-14566.666666666664</v>
      </c>
      <c r="D40" s="409">
        <f t="shared" si="9"/>
        <v>-28075.52</v>
      </c>
      <c r="E40" s="409">
        <f t="shared" si="9"/>
        <v>-12826.14</v>
      </c>
      <c r="F40" s="409">
        <f t="shared" si="9"/>
        <v>-115007.06</v>
      </c>
      <c r="G40" s="409">
        <f t="shared" si="9"/>
        <v>-111108.1</v>
      </c>
      <c r="H40" s="409">
        <f t="shared" si="9"/>
        <v>-106429.284</v>
      </c>
      <c r="I40" s="409">
        <f t="shared" si="9"/>
        <v>-111339.6408</v>
      </c>
      <c r="J40" s="409">
        <f t="shared" si="9"/>
        <v>-129152.08496</v>
      </c>
      <c r="K40" s="409">
        <f t="shared" si="9"/>
        <v>-121066.93795200001</v>
      </c>
      <c r="L40" s="409">
        <f t="shared" si="9"/>
        <v>-134864.68154239998</v>
      </c>
      <c r="M40" s="409">
        <f t="shared" si="9"/>
        <v>-123221.89385088</v>
      </c>
      <c r="N40" s="409">
        <f t="shared" si="9"/>
        <v>-109250.468621056</v>
      </c>
      <c r="O40" s="409">
        <f t="shared" si="9"/>
        <v>-110623.79975326723</v>
      </c>
      <c r="P40" s="409">
        <f t="shared" si="9"/>
        <v>-2779.9856626995024</v>
      </c>
      <c r="Q40" s="409">
        <f t="shared" si="9"/>
        <v>-16551.790163075</v>
      </c>
      <c r="R40" s="409">
        <f t="shared" si="9"/>
        <v>-5850.775113488082</v>
      </c>
      <c r="S40" s="409">
        <f t="shared" si="9"/>
        <v>5920.341441057448</v>
      </c>
      <c r="T40" s="409">
        <f t="shared" si="9"/>
        <v>18868.56965105771</v>
      </c>
      <c r="U40" s="409">
        <f t="shared" si="9"/>
        <v>33111.62068205769</v>
      </c>
      <c r="V40" s="409">
        <f t="shared" si="9"/>
        <v>47778.97681615804</v>
      </c>
      <c r="W40" s="409">
        <f t="shared" si="9"/>
        <v>65013.06856366829</v>
      </c>
      <c r="X40" s="409">
        <f t="shared" si="9"/>
        <v>67095.56948592939</v>
      </c>
      <c r="Y40" s="409">
        <f t="shared" si="9"/>
        <v>87948.8205004168</v>
      </c>
      <c r="Z40" s="409">
        <f t="shared" si="9"/>
        <v>110853.39661635284</v>
      </c>
      <c r="AA40" s="409">
        <f t="shared" si="9"/>
        <v>66942.3026285489</v>
      </c>
      <c r="AB40" s="409">
        <f t="shared" si="9"/>
        <v>68054.41168262818</v>
      </c>
      <c r="AC40" s="409">
        <f t="shared" si="9"/>
        <v>70187.64182724812</v>
      </c>
      <c r="AD40" s="409">
        <f t="shared" si="9"/>
        <v>72342.2042733143</v>
      </c>
      <c r="AE40" s="409">
        <f t="shared" si="9"/>
        <v>74518.31234384092</v>
      </c>
      <c r="AF40" s="409">
        <f t="shared" si="9"/>
        <v>76716.18149507299</v>
      </c>
      <c r="AG40" s="409">
        <f t="shared" si="9"/>
        <v>78936.02933781731</v>
      </c>
      <c r="AH40" s="409">
        <f t="shared" si="9"/>
        <v>80178.07565898946</v>
      </c>
      <c r="AI40" s="409">
        <f t="shared" si="9"/>
        <v>82442.54244337275</v>
      </c>
      <c r="AJ40" s="409">
        <f t="shared" si="9"/>
        <v>84729.6538956002</v>
      </c>
      <c r="AK40" s="409">
        <f t="shared" si="9"/>
        <v>87039.63646234988</v>
      </c>
      <c r="AL40" s="409">
        <f t="shared" si="9"/>
        <v>89210.71885476701</v>
      </c>
      <c r="AM40" s="410"/>
      <c r="AN40" s="410"/>
    </row>
    <row r="41" spans="1:40" ht="15" customHeight="1">
      <c r="A41" s="53"/>
      <c r="B41" s="53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0"/>
      <c r="AA41" s="211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10"/>
      <c r="AM41" s="441"/>
      <c r="AN41" s="410"/>
    </row>
    <row r="42" spans="1:40" ht="15" customHeight="1">
      <c r="A42" s="40" t="s">
        <v>86</v>
      </c>
      <c r="B42" s="4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14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3"/>
      <c r="AA42" s="214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3"/>
      <c r="AM42" s="439"/>
      <c r="AN42" s="410"/>
    </row>
    <row r="43" spans="1:40" ht="15" customHeight="1">
      <c r="A43" s="46" t="s">
        <v>82</v>
      </c>
      <c r="B43" s="4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217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217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6"/>
      <c r="AM43" s="439"/>
      <c r="AN43" s="410"/>
    </row>
    <row r="44" spans="1:40" ht="15" customHeight="1">
      <c r="A44" s="30"/>
      <c r="B44" s="63" t="s">
        <v>87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4">
        <v>0</v>
      </c>
      <c r="O44" s="195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4">
        <v>0</v>
      </c>
      <c r="AA44" s="195">
        <v>0</v>
      </c>
      <c r="AB44" s="193">
        <v>0</v>
      </c>
      <c r="AC44" s="193">
        <v>0</v>
      </c>
      <c r="AD44" s="193">
        <v>0</v>
      </c>
      <c r="AE44" s="193">
        <v>0</v>
      </c>
      <c r="AF44" s="193">
        <v>0</v>
      </c>
      <c r="AG44" s="193">
        <v>0</v>
      </c>
      <c r="AH44" s="193">
        <v>0</v>
      </c>
      <c r="AI44" s="193">
        <v>0</v>
      </c>
      <c r="AJ44" s="193">
        <v>0</v>
      </c>
      <c r="AK44" s="193">
        <v>0</v>
      </c>
      <c r="AL44" s="194">
        <v>0</v>
      </c>
      <c r="AM44" s="439"/>
      <c r="AN44" s="414"/>
    </row>
    <row r="45" spans="1:40" ht="15" customHeight="1">
      <c r="A45" s="30"/>
      <c r="B45" s="63" t="s">
        <v>88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4">
        <v>0</v>
      </c>
      <c r="O45" s="195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4">
        <v>0</v>
      </c>
      <c r="AA45" s="195">
        <v>0</v>
      </c>
      <c r="AB45" s="193">
        <v>0</v>
      </c>
      <c r="AC45" s="193">
        <v>0</v>
      </c>
      <c r="AD45" s="193">
        <v>0</v>
      </c>
      <c r="AE45" s="193">
        <v>0</v>
      </c>
      <c r="AF45" s="193">
        <v>0</v>
      </c>
      <c r="AG45" s="193">
        <v>0</v>
      </c>
      <c r="AH45" s="193">
        <v>0</v>
      </c>
      <c r="AI45" s="193">
        <v>0</v>
      </c>
      <c r="AJ45" s="193">
        <v>0</v>
      </c>
      <c r="AK45" s="193">
        <v>0</v>
      </c>
      <c r="AL45" s="194">
        <v>0</v>
      </c>
      <c r="AM45" s="439"/>
      <c r="AN45" s="414"/>
    </row>
    <row r="46" spans="1:40" ht="15" customHeight="1">
      <c r="A46" s="30"/>
      <c r="B46" s="63" t="s">
        <v>89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4">
        <v>0</v>
      </c>
      <c r="O46" s="195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4">
        <v>0</v>
      </c>
      <c r="AA46" s="195">
        <v>0</v>
      </c>
      <c r="AB46" s="193">
        <v>0</v>
      </c>
      <c r="AC46" s="193">
        <v>0</v>
      </c>
      <c r="AD46" s="193">
        <v>0</v>
      </c>
      <c r="AE46" s="193">
        <v>0</v>
      </c>
      <c r="AF46" s="193">
        <v>0</v>
      </c>
      <c r="AG46" s="193">
        <v>0</v>
      </c>
      <c r="AH46" s="193">
        <v>0</v>
      </c>
      <c r="AI46" s="193">
        <v>0</v>
      </c>
      <c r="AJ46" s="193">
        <v>0</v>
      </c>
      <c r="AK46" s="193">
        <v>0</v>
      </c>
      <c r="AL46" s="194">
        <v>0</v>
      </c>
      <c r="AM46" s="439"/>
      <c r="AN46" s="414"/>
    </row>
    <row r="47" spans="1:40" ht="15" customHeight="1">
      <c r="A47" s="108" t="s">
        <v>83</v>
      </c>
      <c r="B47" s="30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  <c r="O47" s="198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200"/>
      <c r="AA47" s="198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200"/>
      <c r="AM47" s="439"/>
      <c r="AN47" s="410"/>
    </row>
    <row r="48" spans="1:40" ht="15" customHeight="1">
      <c r="A48" s="30"/>
      <c r="B48" s="63" t="s">
        <v>90</v>
      </c>
      <c r="C48" s="193">
        <v>0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4">
        <v>0</v>
      </c>
      <c r="O48" s="195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4">
        <v>0</v>
      </c>
      <c r="AA48" s="195">
        <v>0</v>
      </c>
      <c r="AB48" s="193">
        <v>0</v>
      </c>
      <c r="AC48" s="193">
        <v>0</v>
      </c>
      <c r="AD48" s="193">
        <v>0</v>
      </c>
      <c r="AE48" s="193">
        <v>0</v>
      </c>
      <c r="AF48" s="193">
        <v>0</v>
      </c>
      <c r="AG48" s="193">
        <v>0</v>
      </c>
      <c r="AH48" s="193">
        <v>0</v>
      </c>
      <c r="AI48" s="193">
        <v>0</v>
      </c>
      <c r="AJ48" s="193">
        <v>0</v>
      </c>
      <c r="AK48" s="193">
        <v>0</v>
      </c>
      <c r="AL48" s="194">
        <v>0</v>
      </c>
      <c r="AM48" s="439"/>
      <c r="AN48" s="414"/>
    </row>
    <row r="49" spans="1:40" ht="15" customHeight="1">
      <c r="A49" s="30"/>
      <c r="B49" s="63" t="s">
        <v>91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4">
        <v>0</v>
      </c>
      <c r="O49" s="195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4">
        <v>0</v>
      </c>
      <c r="AA49" s="195">
        <v>0</v>
      </c>
      <c r="AB49" s="193">
        <v>0</v>
      </c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v>0</v>
      </c>
      <c r="AK49" s="193">
        <v>0</v>
      </c>
      <c r="AL49" s="194">
        <v>0</v>
      </c>
      <c r="AM49" s="439"/>
      <c r="AN49" s="414"/>
    </row>
    <row r="50" spans="1:40" ht="15" customHeight="1">
      <c r="A50" s="38"/>
      <c r="B50" s="60" t="s">
        <v>92</v>
      </c>
      <c r="C50" s="204">
        <v>0</v>
      </c>
      <c r="D50" s="204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5">
        <v>0</v>
      </c>
      <c r="O50" s="203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5">
        <v>0</v>
      </c>
      <c r="AA50" s="203">
        <v>0</v>
      </c>
      <c r="AB50" s="204">
        <v>0</v>
      </c>
      <c r="AC50" s="204">
        <v>0</v>
      </c>
      <c r="AD50" s="204">
        <v>0</v>
      </c>
      <c r="AE50" s="204">
        <v>0</v>
      </c>
      <c r="AF50" s="204">
        <v>0</v>
      </c>
      <c r="AG50" s="204">
        <v>0</v>
      </c>
      <c r="AH50" s="204">
        <v>0</v>
      </c>
      <c r="AI50" s="204">
        <v>0</v>
      </c>
      <c r="AJ50" s="204">
        <v>0</v>
      </c>
      <c r="AK50" s="204">
        <v>0</v>
      </c>
      <c r="AL50" s="205">
        <v>0</v>
      </c>
      <c r="AM50" s="439"/>
      <c r="AN50" s="414"/>
    </row>
    <row r="51" spans="1:40" ht="15" customHeight="1">
      <c r="A51" s="111" t="s">
        <v>93</v>
      </c>
      <c r="B51" s="112"/>
      <c r="C51" s="207">
        <f aca="true" t="shared" si="10" ref="C51:N51">SUM(C43:C50)</f>
        <v>0</v>
      </c>
      <c r="D51" s="207">
        <f t="shared" si="10"/>
        <v>0</v>
      </c>
      <c r="E51" s="207">
        <f t="shared" si="10"/>
        <v>0</v>
      </c>
      <c r="F51" s="207">
        <f t="shared" si="10"/>
        <v>0</v>
      </c>
      <c r="G51" s="207">
        <f t="shared" si="10"/>
        <v>0</v>
      </c>
      <c r="H51" s="207">
        <f t="shared" si="10"/>
        <v>0</v>
      </c>
      <c r="I51" s="207">
        <f t="shared" si="10"/>
        <v>0</v>
      </c>
      <c r="J51" s="207">
        <f t="shared" si="10"/>
        <v>0</v>
      </c>
      <c r="K51" s="207">
        <f t="shared" si="10"/>
        <v>0</v>
      </c>
      <c r="L51" s="207">
        <f t="shared" si="10"/>
        <v>0</v>
      </c>
      <c r="M51" s="207">
        <f t="shared" si="10"/>
        <v>0</v>
      </c>
      <c r="N51" s="208">
        <f t="shared" si="10"/>
        <v>0</v>
      </c>
      <c r="O51" s="206">
        <f aca="true" t="shared" si="11" ref="O51:Z51">SUM(O43:O50)</f>
        <v>0</v>
      </c>
      <c r="P51" s="207">
        <f t="shared" si="11"/>
        <v>0</v>
      </c>
      <c r="Q51" s="207">
        <f t="shared" si="11"/>
        <v>0</v>
      </c>
      <c r="R51" s="207">
        <f t="shared" si="11"/>
        <v>0</v>
      </c>
      <c r="S51" s="207">
        <f t="shared" si="11"/>
        <v>0</v>
      </c>
      <c r="T51" s="207">
        <f t="shared" si="11"/>
        <v>0</v>
      </c>
      <c r="U51" s="207">
        <f t="shared" si="11"/>
        <v>0</v>
      </c>
      <c r="V51" s="207">
        <f t="shared" si="11"/>
        <v>0</v>
      </c>
      <c r="W51" s="207">
        <f t="shared" si="11"/>
        <v>0</v>
      </c>
      <c r="X51" s="207">
        <f t="shared" si="11"/>
        <v>0</v>
      </c>
      <c r="Y51" s="207">
        <f t="shared" si="11"/>
        <v>0</v>
      </c>
      <c r="Z51" s="208">
        <f t="shared" si="11"/>
        <v>0</v>
      </c>
      <c r="AA51" s="206">
        <f aca="true" t="shared" si="12" ref="AA51:AL51">SUM(AA43:AA50)</f>
        <v>0</v>
      </c>
      <c r="AB51" s="207">
        <f t="shared" si="12"/>
        <v>0</v>
      </c>
      <c r="AC51" s="207">
        <f t="shared" si="12"/>
        <v>0</v>
      </c>
      <c r="AD51" s="207">
        <f t="shared" si="12"/>
        <v>0</v>
      </c>
      <c r="AE51" s="207">
        <f t="shared" si="12"/>
        <v>0</v>
      </c>
      <c r="AF51" s="207">
        <f t="shared" si="12"/>
        <v>0</v>
      </c>
      <c r="AG51" s="207">
        <f t="shared" si="12"/>
        <v>0</v>
      </c>
      <c r="AH51" s="207">
        <f t="shared" si="12"/>
        <v>0</v>
      </c>
      <c r="AI51" s="207">
        <f t="shared" si="12"/>
        <v>0</v>
      </c>
      <c r="AJ51" s="207">
        <f t="shared" si="12"/>
        <v>0</v>
      </c>
      <c r="AK51" s="207">
        <f t="shared" si="12"/>
        <v>0</v>
      </c>
      <c r="AL51" s="208">
        <f t="shared" si="12"/>
        <v>0</v>
      </c>
      <c r="AM51" s="439"/>
      <c r="AN51" s="410"/>
    </row>
    <row r="52" spans="1:40" ht="15" customHeight="1">
      <c r="A52" s="113"/>
      <c r="B52" s="53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10"/>
      <c r="AA52" s="211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10"/>
      <c r="AM52" s="439"/>
      <c r="AN52" s="410"/>
    </row>
    <row r="53" spans="1:40" ht="15" customHeight="1">
      <c r="A53" s="40" t="s">
        <v>94</v>
      </c>
      <c r="B53" s="4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4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3"/>
      <c r="AA53" s="214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3"/>
      <c r="AM53" s="439"/>
      <c r="AN53" s="410"/>
    </row>
    <row r="54" spans="1:40" ht="15" customHeight="1">
      <c r="A54" s="46" t="s">
        <v>82</v>
      </c>
      <c r="B54" s="45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7"/>
      <c r="O54" s="298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7"/>
      <c r="AA54" s="298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7"/>
      <c r="AM54" s="439"/>
      <c r="AN54" s="410"/>
    </row>
    <row r="55" spans="1:40" ht="15" customHeight="1">
      <c r="A55" s="30"/>
      <c r="B55" s="403" t="s">
        <v>223</v>
      </c>
      <c r="C55" s="404">
        <v>0</v>
      </c>
      <c r="D55" s="405">
        <f>C57</f>
        <v>75000</v>
      </c>
      <c r="E55" s="405">
        <f aca="true" t="shared" si="13" ref="E55:AL55">D57</f>
        <v>75000</v>
      </c>
      <c r="F55" s="405">
        <f t="shared" si="13"/>
        <v>75000</v>
      </c>
      <c r="G55" s="405">
        <f t="shared" si="13"/>
        <v>250000</v>
      </c>
      <c r="H55" s="405">
        <f t="shared" si="13"/>
        <v>250000</v>
      </c>
      <c r="I55" s="405">
        <f t="shared" si="13"/>
        <v>250000</v>
      </c>
      <c r="J55" s="405">
        <f t="shared" si="13"/>
        <v>425000</v>
      </c>
      <c r="K55" s="405">
        <f t="shared" si="13"/>
        <v>425000</v>
      </c>
      <c r="L55" s="405">
        <f t="shared" si="13"/>
        <v>425000</v>
      </c>
      <c r="M55" s="405">
        <f t="shared" si="13"/>
        <v>500000</v>
      </c>
      <c r="N55" s="405">
        <f t="shared" si="13"/>
        <v>500000</v>
      </c>
      <c r="O55" s="405">
        <f t="shared" si="13"/>
        <v>500000</v>
      </c>
      <c r="P55" s="405">
        <f t="shared" si="13"/>
        <v>500000</v>
      </c>
      <c r="Q55" s="405">
        <f t="shared" si="13"/>
        <v>500000</v>
      </c>
      <c r="R55" s="405">
        <f t="shared" si="13"/>
        <v>500000</v>
      </c>
      <c r="S55" s="405">
        <f t="shared" si="13"/>
        <v>500000</v>
      </c>
      <c r="T55" s="405">
        <f t="shared" si="13"/>
        <v>500000</v>
      </c>
      <c r="U55" s="405">
        <f t="shared" si="13"/>
        <v>500000</v>
      </c>
      <c r="V55" s="405">
        <f t="shared" si="13"/>
        <v>500000</v>
      </c>
      <c r="W55" s="405">
        <f t="shared" si="13"/>
        <v>500000</v>
      </c>
      <c r="X55" s="405">
        <f t="shared" si="13"/>
        <v>500000</v>
      </c>
      <c r="Y55" s="405">
        <f t="shared" si="13"/>
        <v>500000</v>
      </c>
      <c r="Z55" s="405">
        <f t="shared" si="13"/>
        <v>500000</v>
      </c>
      <c r="AA55" s="405">
        <f t="shared" si="13"/>
        <v>500000</v>
      </c>
      <c r="AB55" s="405">
        <f t="shared" si="13"/>
        <v>500000</v>
      </c>
      <c r="AC55" s="405">
        <f t="shared" si="13"/>
        <v>500000</v>
      </c>
      <c r="AD55" s="405">
        <f t="shared" si="13"/>
        <v>500000</v>
      </c>
      <c r="AE55" s="405">
        <f t="shared" si="13"/>
        <v>500000</v>
      </c>
      <c r="AF55" s="405">
        <f t="shared" si="13"/>
        <v>500000</v>
      </c>
      <c r="AG55" s="405">
        <f t="shared" si="13"/>
        <v>500000</v>
      </c>
      <c r="AH55" s="405">
        <f t="shared" si="13"/>
        <v>500000</v>
      </c>
      <c r="AI55" s="405">
        <f t="shared" si="13"/>
        <v>500000</v>
      </c>
      <c r="AJ55" s="405">
        <f t="shared" si="13"/>
        <v>500000</v>
      </c>
      <c r="AK55" s="405">
        <f t="shared" si="13"/>
        <v>500000</v>
      </c>
      <c r="AL55" s="405">
        <f t="shared" si="13"/>
        <v>500000</v>
      </c>
      <c r="AM55" s="439"/>
      <c r="AN55" s="414"/>
    </row>
    <row r="56" spans="1:40" ht="15" customHeight="1">
      <c r="A56" s="30"/>
      <c r="B56" s="403" t="s">
        <v>224</v>
      </c>
      <c r="C56" s="404">
        <v>75000</v>
      </c>
      <c r="D56" s="404"/>
      <c r="E56" s="404"/>
      <c r="F56" s="404">
        <v>175000</v>
      </c>
      <c r="G56" s="404"/>
      <c r="H56" s="404"/>
      <c r="I56" s="404">
        <v>175000</v>
      </c>
      <c r="J56" s="404"/>
      <c r="K56" s="404"/>
      <c r="L56" s="404">
        <v>75000</v>
      </c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39"/>
      <c r="AN56" s="414"/>
    </row>
    <row r="57" spans="1:41" ht="15" customHeight="1">
      <c r="A57" s="30"/>
      <c r="B57" s="403" t="s">
        <v>225</v>
      </c>
      <c r="C57" s="247">
        <f>SUM(C55:C56)</f>
        <v>75000</v>
      </c>
      <c r="D57" s="247">
        <f aca="true" t="shared" si="14" ref="D57:AL57">SUM(D55:D56)</f>
        <v>75000</v>
      </c>
      <c r="E57" s="247">
        <f t="shared" si="14"/>
        <v>75000</v>
      </c>
      <c r="F57" s="247">
        <f t="shared" si="14"/>
        <v>250000</v>
      </c>
      <c r="G57" s="247">
        <f t="shared" si="14"/>
        <v>250000</v>
      </c>
      <c r="H57" s="247">
        <f t="shared" si="14"/>
        <v>250000</v>
      </c>
      <c r="I57" s="247">
        <f t="shared" si="14"/>
        <v>425000</v>
      </c>
      <c r="J57" s="247">
        <f t="shared" si="14"/>
        <v>425000</v>
      </c>
      <c r="K57" s="247">
        <f t="shared" si="14"/>
        <v>425000</v>
      </c>
      <c r="L57" s="247">
        <f t="shared" si="14"/>
        <v>500000</v>
      </c>
      <c r="M57" s="247">
        <f t="shared" si="14"/>
        <v>500000</v>
      </c>
      <c r="N57" s="247">
        <f t="shared" si="14"/>
        <v>500000</v>
      </c>
      <c r="O57" s="247">
        <f t="shared" si="14"/>
        <v>500000</v>
      </c>
      <c r="P57" s="247">
        <f t="shared" si="14"/>
        <v>500000</v>
      </c>
      <c r="Q57" s="247">
        <f t="shared" si="14"/>
        <v>500000</v>
      </c>
      <c r="R57" s="247">
        <f t="shared" si="14"/>
        <v>500000</v>
      </c>
      <c r="S57" s="247">
        <f t="shared" si="14"/>
        <v>500000</v>
      </c>
      <c r="T57" s="247">
        <f t="shared" si="14"/>
        <v>500000</v>
      </c>
      <c r="U57" s="247">
        <f t="shared" si="14"/>
        <v>500000</v>
      </c>
      <c r="V57" s="247">
        <f t="shared" si="14"/>
        <v>500000</v>
      </c>
      <c r="W57" s="247">
        <f t="shared" si="14"/>
        <v>500000</v>
      </c>
      <c r="X57" s="247">
        <f t="shared" si="14"/>
        <v>500000</v>
      </c>
      <c r="Y57" s="247">
        <f t="shared" si="14"/>
        <v>500000</v>
      </c>
      <c r="Z57" s="247">
        <f t="shared" si="14"/>
        <v>500000</v>
      </c>
      <c r="AA57" s="247">
        <f t="shared" si="14"/>
        <v>500000</v>
      </c>
      <c r="AB57" s="247">
        <f t="shared" si="14"/>
        <v>500000</v>
      </c>
      <c r="AC57" s="247">
        <f t="shared" si="14"/>
        <v>500000</v>
      </c>
      <c r="AD57" s="247">
        <f t="shared" si="14"/>
        <v>500000</v>
      </c>
      <c r="AE57" s="247">
        <f t="shared" si="14"/>
        <v>500000</v>
      </c>
      <c r="AF57" s="247">
        <f t="shared" si="14"/>
        <v>500000</v>
      </c>
      <c r="AG57" s="247">
        <f t="shared" si="14"/>
        <v>500000</v>
      </c>
      <c r="AH57" s="247">
        <f t="shared" si="14"/>
        <v>500000</v>
      </c>
      <c r="AI57" s="247">
        <f t="shared" si="14"/>
        <v>500000</v>
      </c>
      <c r="AJ57" s="247">
        <f t="shared" si="14"/>
        <v>500000</v>
      </c>
      <c r="AK57" s="247">
        <f t="shared" si="14"/>
        <v>500000</v>
      </c>
      <c r="AL57" s="247">
        <f t="shared" si="14"/>
        <v>500000</v>
      </c>
      <c r="AM57" s="439"/>
      <c r="AN57" s="444"/>
      <c r="AO57" s="426"/>
    </row>
    <row r="58" spans="1:40" ht="15" customHeight="1">
      <c r="A58" s="111" t="s">
        <v>229</v>
      </c>
      <c r="B58" s="112"/>
      <c r="C58" s="352">
        <f>C56</f>
        <v>75000</v>
      </c>
      <c r="D58" s="352">
        <f>D56</f>
        <v>0</v>
      </c>
      <c r="E58" s="352">
        <f>E56</f>
        <v>0</v>
      </c>
      <c r="F58" s="352">
        <f>F56</f>
        <v>175000</v>
      </c>
      <c r="G58" s="352">
        <f aca="true" t="shared" si="15" ref="G58:AL58">G56</f>
        <v>0</v>
      </c>
      <c r="H58" s="352">
        <f t="shared" si="15"/>
        <v>0</v>
      </c>
      <c r="I58" s="352">
        <f t="shared" si="15"/>
        <v>175000</v>
      </c>
      <c r="J58" s="352">
        <f t="shared" si="15"/>
        <v>0</v>
      </c>
      <c r="K58" s="352">
        <f t="shared" si="15"/>
        <v>0</v>
      </c>
      <c r="L58" s="352">
        <f t="shared" si="15"/>
        <v>75000</v>
      </c>
      <c r="M58" s="352">
        <f t="shared" si="15"/>
        <v>0</v>
      </c>
      <c r="N58" s="352">
        <f t="shared" si="15"/>
        <v>0</v>
      </c>
      <c r="O58" s="352">
        <f t="shared" si="15"/>
        <v>0</v>
      </c>
      <c r="P58" s="352">
        <f t="shared" si="15"/>
        <v>0</v>
      </c>
      <c r="Q58" s="352">
        <f t="shared" si="15"/>
        <v>0</v>
      </c>
      <c r="R58" s="352">
        <f t="shared" si="15"/>
        <v>0</v>
      </c>
      <c r="S58" s="352">
        <f t="shared" si="15"/>
        <v>0</v>
      </c>
      <c r="T58" s="352">
        <f t="shared" si="15"/>
        <v>0</v>
      </c>
      <c r="U58" s="352">
        <f t="shared" si="15"/>
        <v>0</v>
      </c>
      <c r="V58" s="352">
        <f t="shared" si="15"/>
        <v>0</v>
      </c>
      <c r="W58" s="352">
        <f t="shared" si="15"/>
        <v>0</v>
      </c>
      <c r="X58" s="352">
        <f t="shared" si="15"/>
        <v>0</v>
      </c>
      <c r="Y58" s="352">
        <f t="shared" si="15"/>
        <v>0</v>
      </c>
      <c r="Z58" s="352">
        <f t="shared" si="15"/>
        <v>0</v>
      </c>
      <c r="AA58" s="352">
        <f t="shared" si="15"/>
        <v>0</v>
      </c>
      <c r="AB58" s="352">
        <f t="shared" si="15"/>
        <v>0</v>
      </c>
      <c r="AC58" s="352">
        <f t="shared" si="15"/>
        <v>0</v>
      </c>
      <c r="AD58" s="352">
        <f t="shared" si="15"/>
        <v>0</v>
      </c>
      <c r="AE58" s="352">
        <f t="shared" si="15"/>
        <v>0</v>
      </c>
      <c r="AF58" s="352">
        <f t="shared" si="15"/>
        <v>0</v>
      </c>
      <c r="AG58" s="352">
        <f t="shared" si="15"/>
        <v>0</v>
      </c>
      <c r="AH58" s="352">
        <f t="shared" si="15"/>
        <v>0</v>
      </c>
      <c r="AI58" s="352">
        <f t="shared" si="15"/>
        <v>0</v>
      </c>
      <c r="AJ58" s="352">
        <f t="shared" si="15"/>
        <v>0</v>
      </c>
      <c r="AK58" s="352">
        <f t="shared" si="15"/>
        <v>0</v>
      </c>
      <c r="AL58" s="352">
        <f t="shared" si="15"/>
        <v>0</v>
      </c>
      <c r="AM58" s="439"/>
      <c r="AN58" s="410"/>
    </row>
    <row r="59" spans="1:40" s="181" customFormat="1" ht="15" customHeight="1">
      <c r="A59" s="417" t="s">
        <v>230</v>
      </c>
      <c r="B59" s="416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442"/>
      <c r="AN59" s="434"/>
    </row>
    <row r="60" spans="1:40" s="181" customFormat="1" ht="15" customHeight="1">
      <c r="A60" s="406"/>
      <c r="B60" s="406" t="s">
        <v>226</v>
      </c>
      <c r="C60" s="418">
        <v>0</v>
      </c>
      <c r="D60" s="418">
        <v>0</v>
      </c>
      <c r="E60" s="418">
        <v>0</v>
      </c>
      <c r="F60" s="418">
        <v>0</v>
      </c>
      <c r="G60" s="418">
        <v>0</v>
      </c>
      <c r="H60" s="418">
        <v>0</v>
      </c>
      <c r="I60" s="418">
        <v>0</v>
      </c>
      <c r="J60" s="418">
        <v>0</v>
      </c>
      <c r="K60" s="418">
        <v>0</v>
      </c>
      <c r="L60" s="418">
        <v>0</v>
      </c>
      <c r="M60" s="418">
        <v>0</v>
      </c>
      <c r="N60" s="418">
        <v>0</v>
      </c>
      <c r="O60" s="418">
        <v>0</v>
      </c>
      <c r="P60" s="418">
        <v>100000</v>
      </c>
      <c r="Q60" s="418">
        <v>100000</v>
      </c>
      <c r="R60" s="418">
        <v>100000</v>
      </c>
      <c r="S60" s="418">
        <v>100000</v>
      </c>
      <c r="T60" s="418">
        <v>100000</v>
      </c>
      <c r="U60" s="418">
        <v>100000</v>
      </c>
      <c r="V60" s="418">
        <v>100000</v>
      </c>
      <c r="W60" s="418">
        <v>100000</v>
      </c>
      <c r="X60" s="418">
        <v>100000</v>
      </c>
      <c r="Y60" s="418">
        <v>100000</v>
      </c>
      <c r="Z60" s="418">
        <v>100000</v>
      </c>
      <c r="AA60" s="418">
        <v>100000</v>
      </c>
      <c r="AB60" s="418">
        <v>100000</v>
      </c>
      <c r="AC60" s="418">
        <v>100000</v>
      </c>
      <c r="AD60" s="418">
        <v>100000</v>
      </c>
      <c r="AE60" s="418">
        <v>100000</v>
      </c>
      <c r="AF60" s="418">
        <v>100000</v>
      </c>
      <c r="AG60" s="418">
        <v>100000</v>
      </c>
      <c r="AH60" s="418">
        <v>100000</v>
      </c>
      <c r="AI60" s="418">
        <v>100000</v>
      </c>
      <c r="AJ60" s="418">
        <v>100000</v>
      </c>
      <c r="AK60" s="418">
        <v>100000</v>
      </c>
      <c r="AL60" s="418">
        <v>100000</v>
      </c>
      <c r="AM60" s="442"/>
      <c r="AN60" s="434"/>
    </row>
    <row r="61" spans="1:40" s="181" customFormat="1" ht="15" customHeight="1">
      <c r="A61" s="406"/>
      <c r="B61" s="406" t="s">
        <v>227</v>
      </c>
      <c r="C61" s="418">
        <v>0</v>
      </c>
      <c r="D61" s="418">
        <v>0</v>
      </c>
      <c r="E61" s="418">
        <v>0</v>
      </c>
      <c r="F61" s="418">
        <v>0</v>
      </c>
      <c r="G61" s="418">
        <v>0</v>
      </c>
      <c r="H61" s="418">
        <v>0</v>
      </c>
      <c r="I61" s="418">
        <v>0</v>
      </c>
      <c r="J61" s="418">
        <v>0</v>
      </c>
      <c r="K61" s="418">
        <v>0</v>
      </c>
      <c r="L61" s="418">
        <v>0</v>
      </c>
      <c r="M61" s="418">
        <v>0</v>
      </c>
      <c r="N61" s="418">
        <v>0</v>
      </c>
      <c r="O61" s="418">
        <v>100000</v>
      </c>
      <c r="P61" s="418">
        <v>100000</v>
      </c>
      <c r="Q61" s="418">
        <v>100000</v>
      </c>
      <c r="R61" s="418">
        <v>100000</v>
      </c>
      <c r="S61" s="418">
        <v>100000</v>
      </c>
      <c r="T61" s="418">
        <v>100000</v>
      </c>
      <c r="U61" s="418">
        <v>100000</v>
      </c>
      <c r="V61" s="418">
        <v>100000</v>
      </c>
      <c r="W61" s="418">
        <v>100000</v>
      </c>
      <c r="X61" s="418">
        <v>100000</v>
      </c>
      <c r="Y61" s="418">
        <v>100000</v>
      </c>
      <c r="Z61" s="418">
        <v>100000</v>
      </c>
      <c r="AA61" s="418">
        <v>100000</v>
      </c>
      <c r="AB61" s="418">
        <v>100000</v>
      </c>
      <c r="AC61" s="418">
        <v>100000</v>
      </c>
      <c r="AD61" s="418">
        <v>100000</v>
      </c>
      <c r="AE61" s="418">
        <v>100000</v>
      </c>
      <c r="AF61" s="418">
        <v>100000</v>
      </c>
      <c r="AG61" s="418">
        <v>100000</v>
      </c>
      <c r="AH61" s="418">
        <v>100000</v>
      </c>
      <c r="AI61" s="418">
        <v>100000</v>
      </c>
      <c r="AJ61" s="418">
        <v>100000</v>
      </c>
      <c r="AK61" s="418">
        <v>100000</v>
      </c>
      <c r="AL61" s="418">
        <v>100000</v>
      </c>
      <c r="AM61" s="442"/>
      <c r="AN61" s="434"/>
    </row>
    <row r="62" spans="1:40" s="181" customFormat="1" ht="15" customHeight="1">
      <c r="A62" s="406"/>
      <c r="B62" s="419" t="s">
        <v>228</v>
      </c>
      <c r="C62" s="419"/>
      <c r="D62" s="419">
        <v>0</v>
      </c>
      <c r="E62" s="419">
        <v>0</v>
      </c>
      <c r="F62" s="419">
        <v>0</v>
      </c>
      <c r="G62" s="419">
        <v>0</v>
      </c>
      <c r="H62" s="419">
        <v>0</v>
      </c>
      <c r="I62" s="419">
        <v>0</v>
      </c>
      <c r="J62" s="419">
        <v>0</v>
      </c>
      <c r="K62" s="419">
        <v>0</v>
      </c>
      <c r="L62" s="419">
        <v>0</v>
      </c>
      <c r="M62" s="419">
        <v>0</v>
      </c>
      <c r="N62" s="419">
        <v>0</v>
      </c>
      <c r="O62" s="419">
        <v>0</v>
      </c>
      <c r="P62" s="419">
        <v>-100000</v>
      </c>
      <c r="Q62" s="419">
        <v>-100000</v>
      </c>
      <c r="R62" s="419">
        <v>-100000</v>
      </c>
      <c r="S62" s="419">
        <v>-100000</v>
      </c>
      <c r="T62" s="419">
        <v>-100000</v>
      </c>
      <c r="U62" s="419">
        <v>-100000</v>
      </c>
      <c r="V62" s="419">
        <v>-100000</v>
      </c>
      <c r="W62" s="419">
        <v>-100000</v>
      </c>
      <c r="X62" s="419">
        <v>-100000</v>
      </c>
      <c r="Y62" s="419">
        <v>-100000</v>
      </c>
      <c r="Z62" s="419">
        <v>-100000</v>
      </c>
      <c r="AA62" s="419">
        <v>-100000</v>
      </c>
      <c r="AB62" s="419">
        <v>-100000</v>
      </c>
      <c r="AC62" s="419">
        <v>-100000</v>
      </c>
      <c r="AD62" s="419">
        <v>-100000</v>
      </c>
      <c r="AE62" s="419">
        <v>-100000</v>
      </c>
      <c r="AF62" s="419">
        <v>-100000</v>
      </c>
      <c r="AG62" s="419">
        <v>-100000</v>
      </c>
      <c r="AH62" s="419">
        <v>-100000</v>
      </c>
      <c r="AI62" s="419">
        <v>-100000</v>
      </c>
      <c r="AJ62" s="419">
        <v>-100000</v>
      </c>
      <c r="AK62" s="419">
        <v>-100000</v>
      </c>
      <c r="AL62" s="419">
        <v>-100000</v>
      </c>
      <c r="AM62" s="442"/>
      <c r="AN62" s="434"/>
    </row>
    <row r="63" spans="1:40" s="181" customFormat="1" ht="15" customHeight="1">
      <c r="A63" s="415"/>
      <c r="B63" s="416" t="s">
        <v>231</v>
      </c>
      <c r="C63" s="420">
        <f>SUM(C60:C62)</f>
        <v>0</v>
      </c>
      <c r="D63" s="420">
        <f aca="true" t="shared" si="16" ref="D63:AL63">SUM(D60:D62)</f>
        <v>0</v>
      </c>
      <c r="E63" s="420">
        <f t="shared" si="16"/>
        <v>0</v>
      </c>
      <c r="F63" s="420">
        <f t="shared" si="16"/>
        <v>0</v>
      </c>
      <c r="G63" s="420">
        <f t="shared" si="16"/>
        <v>0</v>
      </c>
      <c r="H63" s="420">
        <f t="shared" si="16"/>
        <v>0</v>
      </c>
      <c r="I63" s="420">
        <f t="shared" si="16"/>
        <v>0</v>
      </c>
      <c r="J63" s="420">
        <f t="shared" si="16"/>
        <v>0</v>
      </c>
      <c r="K63" s="420">
        <f t="shared" si="16"/>
        <v>0</v>
      </c>
      <c r="L63" s="420">
        <f t="shared" si="16"/>
        <v>0</v>
      </c>
      <c r="M63" s="420">
        <f t="shared" si="16"/>
        <v>0</v>
      </c>
      <c r="N63" s="420">
        <f t="shared" si="16"/>
        <v>0</v>
      </c>
      <c r="O63" s="420">
        <f t="shared" si="16"/>
        <v>100000</v>
      </c>
      <c r="P63" s="420">
        <f t="shared" si="16"/>
        <v>100000</v>
      </c>
      <c r="Q63" s="420">
        <f t="shared" si="16"/>
        <v>100000</v>
      </c>
      <c r="R63" s="420">
        <f t="shared" si="16"/>
        <v>100000</v>
      </c>
      <c r="S63" s="420">
        <f t="shared" si="16"/>
        <v>100000</v>
      </c>
      <c r="T63" s="420">
        <f t="shared" si="16"/>
        <v>100000</v>
      </c>
      <c r="U63" s="420">
        <f t="shared" si="16"/>
        <v>100000</v>
      </c>
      <c r="V63" s="420">
        <f t="shared" si="16"/>
        <v>100000</v>
      </c>
      <c r="W63" s="420">
        <f t="shared" si="16"/>
        <v>100000</v>
      </c>
      <c r="X63" s="420">
        <f t="shared" si="16"/>
        <v>100000</v>
      </c>
      <c r="Y63" s="420">
        <f t="shared" si="16"/>
        <v>100000</v>
      </c>
      <c r="Z63" s="420">
        <f t="shared" si="16"/>
        <v>100000</v>
      </c>
      <c r="AA63" s="420">
        <f t="shared" si="16"/>
        <v>100000</v>
      </c>
      <c r="AB63" s="420">
        <f t="shared" si="16"/>
        <v>100000</v>
      </c>
      <c r="AC63" s="420">
        <f t="shared" si="16"/>
        <v>100000</v>
      </c>
      <c r="AD63" s="420">
        <f t="shared" si="16"/>
        <v>100000</v>
      </c>
      <c r="AE63" s="420">
        <f t="shared" si="16"/>
        <v>100000</v>
      </c>
      <c r="AF63" s="420">
        <f t="shared" si="16"/>
        <v>100000</v>
      </c>
      <c r="AG63" s="420">
        <f t="shared" si="16"/>
        <v>100000</v>
      </c>
      <c r="AH63" s="420">
        <f t="shared" si="16"/>
        <v>100000</v>
      </c>
      <c r="AI63" s="420">
        <f t="shared" si="16"/>
        <v>100000</v>
      </c>
      <c r="AJ63" s="420">
        <f t="shared" si="16"/>
        <v>100000</v>
      </c>
      <c r="AK63" s="420">
        <f t="shared" si="16"/>
        <v>100000</v>
      </c>
      <c r="AL63" s="420">
        <f t="shared" si="16"/>
        <v>100000</v>
      </c>
      <c r="AM63" s="442"/>
      <c r="AN63" s="434"/>
    </row>
    <row r="64" spans="1:40" s="181" customFormat="1" ht="15" customHeight="1">
      <c r="A64" s="417" t="s">
        <v>133</v>
      </c>
      <c r="B64" s="416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42"/>
      <c r="AN64" s="434"/>
    </row>
    <row r="65" spans="1:40" s="181" customFormat="1" ht="15" customHeight="1">
      <c r="A65" s="415"/>
      <c r="B65" s="364" t="s">
        <v>226</v>
      </c>
      <c r="C65" s="420">
        <v>0</v>
      </c>
      <c r="D65" s="420">
        <v>26775.52</v>
      </c>
      <c r="E65" s="420">
        <v>31526.140000000003</v>
      </c>
      <c r="F65" s="420">
        <v>45777.06</v>
      </c>
      <c r="G65" s="420">
        <v>51478.100000000006</v>
      </c>
      <c r="H65" s="420">
        <v>58319.28400000001</v>
      </c>
      <c r="I65" s="420">
        <v>66528.64080000001</v>
      </c>
      <c r="J65" s="420">
        <v>81179.88496</v>
      </c>
      <c r="K65" s="420">
        <v>93001.297952</v>
      </c>
      <c r="L65" s="420">
        <v>107186.9135424</v>
      </c>
      <c r="M65" s="420">
        <v>124209.57225088</v>
      </c>
      <c r="N65" s="420">
        <v>144636.68270105598</v>
      </c>
      <c r="O65" s="420">
        <v>169149.13524126718</v>
      </c>
      <c r="P65" s="420">
        <v>186758.35469949953</v>
      </c>
      <c r="Q65" s="420">
        <v>205028.49610355508</v>
      </c>
      <c r="R65" s="420">
        <v>225125.6516480162</v>
      </c>
      <c r="S65" s="420">
        <v>247232.5227469235</v>
      </c>
      <c r="T65" s="420">
        <v>271550.0809557214</v>
      </c>
      <c r="U65" s="420">
        <v>298299.3949853993</v>
      </c>
      <c r="V65" s="420">
        <v>328723.64041804476</v>
      </c>
      <c r="W65" s="420">
        <v>361090.31039395486</v>
      </c>
      <c r="X65" s="420">
        <v>396693.6473674561</v>
      </c>
      <c r="Y65" s="420">
        <v>435857.3180383073</v>
      </c>
      <c r="Z65" s="420">
        <v>478937.3557762436</v>
      </c>
      <c r="AA65" s="420">
        <v>526325.3972879737</v>
      </c>
      <c r="AB65" s="420">
        <v>532547.9562330596</v>
      </c>
      <c r="AC65" s="420">
        <v>537822.7407675968</v>
      </c>
      <c r="AD65" s="420">
        <v>543150.2731474789</v>
      </c>
      <c r="AE65" s="420">
        <v>548531.0808511603</v>
      </c>
      <c r="AF65" s="420">
        <v>553965.6966318783</v>
      </c>
      <c r="AG65" s="420">
        <v>559454.6585704033</v>
      </c>
      <c r="AH65" s="420">
        <v>565998.5101283136</v>
      </c>
      <c r="AI65" s="420">
        <v>571597.8002018033</v>
      </c>
      <c r="AJ65" s="420">
        <v>577253.0831760275</v>
      </c>
      <c r="AK65" s="420">
        <v>582964.9189799943</v>
      </c>
      <c r="AL65" s="420">
        <v>588733.8731420004</v>
      </c>
      <c r="AM65" s="442"/>
      <c r="AN65" s="434"/>
    </row>
    <row r="66" spans="1:40" s="181" customFormat="1" ht="15" customHeight="1">
      <c r="A66" s="415"/>
      <c r="B66" s="406" t="s">
        <v>227</v>
      </c>
      <c r="C66" s="255">
        <v>26775.52</v>
      </c>
      <c r="D66" s="255">
        <v>31526.14</v>
      </c>
      <c r="E66" s="255">
        <v>45777.06</v>
      </c>
      <c r="F66" s="255">
        <v>51478.1</v>
      </c>
      <c r="G66" s="255">
        <v>58319.284</v>
      </c>
      <c r="H66" s="255">
        <v>66528.6408</v>
      </c>
      <c r="I66" s="255">
        <v>81179.88496</v>
      </c>
      <c r="J66" s="255">
        <v>93001.297952</v>
      </c>
      <c r="K66" s="255">
        <v>107186.91354239998</v>
      </c>
      <c r="L66" s="255">
        <v>124209.57225087998</v>
      </c>
      <c r="M66" s="255">
        <v>144636.68270105598</v>
      </c>
      <c r="N66" s="255">
        <v>169149.13524126718</v>
      </c>
      <c r="O66" s="255">
        <v>186758.3546994995</v>
      </c>
      <c r="P66" s="255">
        <v>205028.49610355505</v>
      </c>
      <c r="Q66" s="255">
        <v>225125.65164801618</v>
      </c>
      <c r="R66" s="255">
        <v>247232.52274692344</v>
      </c>
      <c r="S66" s="255">
        <v>271550.0809557213</v>
      </c>
      <c r="T66" s="255">
        <v>298299.3949853992</v>
      </c>
      <c r="U66" s="255">
        <v>328723.64041804464</v>
      </c>
      <c r="V66" s="255">
        <v>361090.31039395474</v>
      </c>
      <c r="W66" s="255">
        <v>396693.64736745594</v>
      </c>
      <c r="X66" s="255">
        <v>435857.31803830713</v>
      </c>
      <c r="Y66" s="255">
        <v>478937.3557762435</v>
      </c>
      <c r="Z66" s="255">
        <v>526325.3972879736</v>
      </c>
      <c r="AA66" s="255">
        <v>532547.9562330595</v>
      </c>
      <c r="AB66" s="255">
        <v>537822.7407675965</v>
      </c>
      <c r="AC66" s="255">
        <v>543150.2731474788</v>
      </c>
      <c r="AD66" s="255">
        <v>548531.0808511601</v>
      </c>
      <c r="AE66" s="255">
        <v>553965.696631878</v>
      </c>
      <c r="AF66" s="255">
        <v>559454.6585704031</v>
      </c>
      <c r="AG66" s="255">
        <v>565998.5101283133</v>
      </c>
      <c r="AH66" s="255">
        <v>571597.800201803</v>
      </c>
      <c r="AI66" s="255">
        <v>577253.0831760273</v>
      </c>
      <c r="AJ66" s="255">
        <v>582964.9189799939</v>
      </c>
      <c r="AK66" s="255">
        <v>588733.8731420002</v>
      </c>
      <c r="AL66" s="255">
        <v>594560.5168456264</v>
      </c>
      <c r="AM66" s="442"/>
      <c r="AN66" s="434"/>
    </row>
    <row r="67" spans="1:73" s="181" customFormat="1" ht="15" customHeight="1">
      <c r="A67" s="419"/>
      <c r="B67" s="419" t="s">
        <v>228</v>
      </c>
      <c r="C67" s="419"/>
      <c r="D67" s="419">
        <v>-26775.52</v>
      </c>
      <c r="E67" s="419">
        <v>-31526.14</v>
      </c>
      <c r="F67" s="419">
        <v>-45777.06</v>
      </c>
      <c r="G67" s="419">
        <v>-51478.1</v>
      </c>
      <c r="H67" s="419">
        <v>-58319.284</v>
      </c>
      <c r="I67" s="419">
        <v>-66528.6408</v>
      </c>
      <c r="J67" s="419">
        <v>-81179.88496</v>
      </c>
      <c r="K67" s="419">
        <v>-93001.297952</v>
      </c>
      <c r="L67" s="419">
        <v>-107186.91354239998</v>
      </c>
      <c r="M67" s="419">
        <v>-124209.57225087998</v>
      </c>
      <c r="N67" s="419">
        <v>-144636.68270105598</v>
      </c>
      <c r="O67" s="419">
        <v>-169149.13524126718</v>
      </c>
      <c r="P67" s="419">
        <v>-186758.3546994995</v>
      </c>
      <c r="Q67" s="419">
        <v>-205028.49610355505</v>
      </c>
      <c r="R67" s="419">
        <v>-225125.65164801618</v>
      </c>
      <c r="S67" s="419">
        <v>-247232.52274692344</v>
      </c>
      <c r="T67" s="419">
        <v>-271550.0809557213</v>
      </c>
      <c r="U67" s="419">
        <v>-298299.3949853992</v>
      </c>
      <c r="V67" s="419">
        <v>-328723.64041804464</v>
      </c>
      <c r="W67" s="419">
        <v>-361090.31039395474</v>
      </c>
      <c r="X67" s="419">
        <v>-396693.64736745594</v>
      </c>
      <c r="Y67" s="419">
        <v>-435857.31803830713</v>
      </c>
      <c r="Z67" s="419">
        <v>-478937.3557762435</v>
      </c>
      <c r="AA67" s="419">
        <v>-526325.3972879736</v>
      </c>
      <c r="AB67" s="419">
        <v>-532547.9562330595</v>
      </c>
      <c r="AC67" s="419">
        <v>-537822.7407675965</v>
      </c>
      <c r="AD67" s="419">
        <v>-543150.2731474788</v>
      </c>
      <c r="AE67" s="419">
        <v>-548531.0808511601</v>
      </c>
      <c r="AF67" s="419">
        <v>-553965.696631878</v>
      </c>
      <c r="AG67" s="419">
        <v>-559454.6585704031</v>
      </c>
      <c r="AH67" s="419">
        <v>-565998.5101283133</v>
      </c>
      <c r="AI67" s="419">
        <v>-571597.800201803</v>
      </c>
      <c r="AJ67" s="419">
        <v>-577253.0831760273</v>
      </c>
      <c r="AK67" s="419">
        <v>-582964.9189799939</v>
      </c>
      <c r="AL67" s="419">
        <v>-588733.8731420002</v>
      </c>
      <c r="AM67" s="419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B67" s="418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/>
      <c r="BN67" s="418"/>
      <c r="BO67" s="418"/>
      <c r="BP67" s="418"/>
      <c r="BQ67" s="418"/>
      <c r="BR67" s="418"/>
      <c r="BS67" s="418"/>
      <c r="BT67" s="418"/>
      <c r="BU67" s="418"/>
    </row>
    <row r="68" spans="1:69" s="181" customFormat="1" ht="15" customHeight="1">
      <c r="A68" s="415"/>
      <c r="B68" s="421" t="s">
        <v>233</v>
      </c>
      <c r="C68" s="255">
        <f>SUM(C65:C67)</f>
        <v>26775.52</v>
      </c>
      <c r="D68" s="255">
        <f aca="true" t="shared" si="17" ref="D68:AL68">SUM(D65:D67)</f>
        <v>31526.140000000003</v>
      </c>
      <c r="E68" s="255">
        <f t="shared" si="17"/>
        <v>45777.06</v>
      </c>
      <c r="F68" s="255">
        <f t="shared" si="17"/>
        <v>51478.100000000006</v>
      </c>
      <c r="G68" s="255">
        <f t="shared" si="17"/>
        <v>58319.28400000001</v>
      </c>
      <c r="H68" s="255">
        <f t="shared" si="17"/>
        <v>66528.64080000001</v>
      </c>
      <c r="I68" s="255">
        <f t="shared" si="17"/>
        <v>81179.88496</v>
      </c>
      <c r="J68" s="255">
        <f t="shared" si="17"/>
        <v>93001.297952</v>
      </c>
      <c r="K68" s="255">
        <f t="shared" si="17"/>
        <v>107186.9135424</v>
      </c>
      <c r="L68" s="255">
        <f t="shared" si="17"/>
        <v>124209.57225088</v>
      </c>
      <c r="M68" s="255">
        <f t="shared" si="17"/>
        <v>144636.68270105598</v>
      </c>
      <c r="N68" s="255">
        <f t="shared" si="17"/>
        <v>169149.13524126718</v>
      </c>
      <c r="O68" s="255">
        <f t="shared" si="17"/>
        <v>186758.35469949953</v>
      </c>
      <c r="P68" s="255">
        <f t="shared" si="17"/>
        <v>205028.49610355508</v>
      </c>
      <c r="Q68" s="255">
        <f t="shared" si="17"/>
        <v>225125.6516480162</v>
      </c>
      <c r="R68" s="255">
        <f t="shared" si="17"/>
        <v>247232.5227469235</v>
      </c>
      <c r="S68" s="255">
        <f t="shared" si="17"/>
        <v>271550.0809557214</v>
      </c>
      <c r="T68" s="255">
        <f t="shared" si="17"/>
        <v>298299.3949853993</v>
      </c>
      <c r="U68" s="255">
        <f t="shared" si="17"/>
        <v>328723.64041804476</v>
      </c>
      <c r="V68" s="255">
        <f t="shared" si="17"/>
        <v>361090.31039395486</v>
      </c>
      <c r="W68" s="255">
        <f t="shared" si="17"/>
        <v>396693.6473674561</v>
      </c>
      <c r="X68" s="255">
        <f t="shared" si="17"/>
        <v>435857.3180383073</v>
      </c>
      <c r="Y68" s="255">
        <f t="shared" si="17"/>
        <v>478937.3557762436</v>
      </c>
      <c r="Z68" s="255">
        <f t="shared" si="17"/>
        <v>526325.3972879737</v>
      </c>
      <c r="AA68" s="255">
        <f t="shared" si="17"/>
        <v>532547.9562330596</v>
      </c>
      <c r="AB68" s="255">
        <f t="shared" si="17"/>
        <v>537822.7407675968</v>
      </c>
      <c r="AC68" s="255">
        <f t="shared" si="17"/>
        <v>543150.2731474789</v>
      </c>
      <c r="AD68" s="255">
        <f t="shared" si="17"/>
        <v>548531.0808511603</v>
      </c>
      <c r="AE68" s="255">
        <f t="shared" si="17"/>
        <v>553965.6966318783</v>
      </c>
      <c r="AF68" s="255">
        <f t="shared" si="17"/>
        <v>559454.6585704033</v>
      </c>
      <c r="AG68" s="255">
        <f t="shared" si="17"/>
        <v>565998.5101283136</v>
      </c>
      <c r="AH68" s="419">
        <f t="shared" si="17"/>
        <v>571597.8002018033</v>
      </c>
      <c r="AI68" s="419">
        <f t="shared" si="17"/>
        <v>577253.0831760275</v>
      </c>
      <c r="AJ68" s="419">
        <f t="shared" si="17"/>
        <v>582964.9189799943</v>
      </c>
      <c r="AK68" s="419">
        <f t="shared" si="17"/>
        <v>588733.8731420004</v>
      </c>
      <c r="AL68" s="419">
        <f t="shared" si="17"/>
        <v>594560.5168456266</v>
      </c>
      <c r="AM68" s="419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</row>
    <row r="69" spans="1:69" s="181" customFormat="1" ht="15" customHeight="1">
      <c r="A69" s="417" t="s">
        <v>235</v>
      </c>
      <c r="B69" s="421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/>
      <c r="BN69" s="418"/>
      <c r="BO69" s="418"/>
      <c r="BP69" s="418"/>
      <c r="BQ69" s="418"/>
    </row>
    <row r="70" spans="1:69" s="181" customFormat="1" ht="15" customHeight="1">
      <c r="A70" s="415"/>
      <c r="B70" s="364" t="s">
        <v>226</v>
      </c>
      <c r="C70" s="255"/>
      <c r="D70" s="255">
        <f>C72</f>
        <v>5000</v>
      </c>
      <c r="E70" s="255">
        <f aca="true" t="shared" si="18" ref="E70:AL70">D72</f>
        <v>10000</v>
      </c>
      <c r="F70" s="255">
        <f t="shared" si="18"/>
        <v>15000</v>
      </c>
      <c r="G70" s="255">
        <f t="shared" si="18"/>
        <v>20000</v>
      </c>
      <c r="H70" s="255">
        <f t="shared" si="18"/>
        <v>25000</v>
      </c>
      <c r="I70" s="255">
        <f t="shared" si="18"/>
        <v>25000</v>
      </c>
      <c r="J70" s="255">
        <f t="shared" si="18"/>
        <v>25000</v>
      </c>
      <c r="K70" s="255">
        <f t="shared" si="18"/>
        <v>25000</v>
      </c>
      <c r="L70" s="255">
        <f t="shared" si="18"/>
        <v>25000</v>
      </c>
      <c r="M70" s="255">
        <f t="shared" si="18"/>
        <v>25000</v>
      </c>
      <c r="N70" s="255">
        <f t="shared" si="18"/>
        <v>25000</v>
      </c>
      <c r="O70" s="255">
        <f t="shared" si="18"/>
        <v>25000</v>
      </c>
      <c r="P70" s="255">
        <f t="shared" si="18"/>
        <v>25000</v>
      </c>
      <c r="Q70" s="255">
        <f t="shared" si="18"/>
        <v>25000</v>
      </c>
      <c r="R70" s="255">
        <f t="shared" si="18"/>
        <v>25000</v>
      </c>
      <c r="S70" s="255">
        <f t="shared" si="18"/>
        <v>25000</v>
      </c>
      <c r="T70" s="255">
        <f t="shared" si="18"/>
        <v>25000</v>
      </c>
      <c r="U70" s="255">
        <f t="shared" si="18"/>
        <v>25000</v>
      </c>
      <c r="V70" s="255">
        <f t="shared" si="18"/>
        <v>25000</v>
      </c>
      <c r="W70" s="255">
        <f t="shared" si="18"/>
        <v>25000</v>
      </c>
      <c r="X70" s="255">
        <f t="shared" si="18"/>
        <v>25000</v>
      </c>
      <c r="Y70" s="255">
        <f t="shared" si="18"/>
        <v>25000</v>
      </c>
      <c r="Z70" s="255">
        <f t="shared" si="18"/>
        <v>25000</v>
      </c>
      <c r="AA70" s="255">
        <f t="shared" si="18"/>
        <v>25000</v>
      </c>
      <c r="AB70" s="255">
        <f t="shared" si="18"/>
        <v>25000</v>
      </c>
      <c r="AC70" s="255">
        <f t="shared" si="18"/>
        <v>25000</v>
      </c>
      <c r="AD70" s="255">
        <f t="shared" si="18"/>
        <v>25000</v>
      </c>
      <c r="AE70" s="255">
        <f t="shared" si="18"/>
        <v>25000</v>
      </c>
      <c r="AF70" s="255">
        <f t="shared" si="18"/>
        <v>25000</v>
      </c>
      <c r="AG70" s="255">
        <f t="shared" si="18"/>
        <v>25000</v>
      </c>
      <c r="AH70" s="255">
        <f t="shared" si="18"/>
        <v>25000</v>
      </c>
      <c r="AI70" s="255">
        <f t="shared" si="18"/>
        <v>25000</v>
      </c>
      <c r="AJ70" s="255">
        <f t="shared" si="18"/>
        <v>25000</v>
      </c>
      <c r="AK70" s="255">
        <f t="shared" si="18"/>
        <v>25000</v>
      </c>
      <c r="AL70" s="255">
        <f t="shared" si="18"/>
        <v>25000</v>
      </c>
      <c r="AM70" s="418"/>
      <c r="AN70" s="418"/>
      <c r="AO70" s="418"/>
      <c r="AP70" s="418"/>
      <c r="AQ70" s="418"/>
      <c r="AR70" s="418"/>
      <c r="AS70" s="418"/>
      <c r="AT70" s="418"/>
      <c r="AU70" s="418"/>
      <c r="AV70" s="418"/>
      <c r="AW70" s="418"/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8"/>
      <c r="BJ70" s="418"/>
      <c r="BK70" s="418"/>
      <c r="BL70" s="418"/>
      <c r="BM70" s="418"/>
      <c r="BN70" s="418"/>
      <c r="BO70" s="418"/>
      <c r="BP70" s="418"/>
      <c r="BQ70" s="418"/>
    </row>
    <row r="71" spans="1:69" s="181" customFormat="1" ht="15" customHeight="1">
      <c r="A71" s="415"/>
      <c r="B71" s="407" t="s">
        <v>227</v>
      </c>
      <c r="C71" s="255">
        <v>5000</v>
      </c>
      <c r="D71" s="255">
        <v>5000</v>
      </c>
      <c r="E71" s="255">
        <v>5000</v>
      </c>
      <c r="F71" s="255">
        <v>5000</v>
      </c>
      <c r="G71" s="255">
        <v>5000</v>
      </c>
      <c r="H71" s="255">
        <v>0</v>
      </c>
      <c r="I71" s="255">
        <v>0</v>
      </c>
      <c r="J71" s="255">
        <v>0</v>
      </c>
      <c r="K71" s="255">
        <v>0</v>
      </c>
      <c r="L71" s="255">
        <v>0</v>
      </c>
      <c r="M71" s="255">
        <v>0</v>
      </c>
      <c r="N71" s="255">
        <v>0</v>
      </c>
      <c r="O71" s="255">
        <v>0</v>
      </c>
      <c r="P71" s="255">
        <v>0</v>
      </c>
      <c r="Q71" s="255">
        <v>0</v>
      </c>
      <c r="R71" s="255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5">
        <v>0</v>
      </c>
      <c r="Y71" s="255">
        <v>0</v>
      </c>
      <c r="Z71" s="255">
        <v>0</v>
      </c>
      <c r="AA71" s="255">
        <v>0</v>
      </c>
      <c r="AB71" s="255">
        <v>0</v>
      </c>
      <c r="AC71" s="255">
        <v>0</v>
      </c>
      <c r="AD71" s="255">
        <v>0</v>
      </c>
      <c r="AE71" s="255">
        <v>0</v>
      </c>
      <c r="AF71" s="255">
        <v>0</v>
      </c>
      <c r="AG71" s="255">
        <v>0</v>
      </c>
      <c r="AH71" s="418">
        <v>0</v>
      </c>
      <c r="AI71" s="418">
        <v>0</v>
      </c>
      <c r="AJ71" s="418">
        <v>0</v>
      </c>
      <c r="AK71" s="418">
        <v>0</v>
      </c>
      <c r="AL71" s="418">
        <v>0</v>
      </c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  <c r="BF71" s="418"/>
      <c r="BG71" s="418"/>
      <c r="BH71" s="418"/>
      <c r="BI71" s="418"/>
      <c r="BJ71" s="418"/>
      <c r="BK71" s="418"/>
      <c r="BL71" s="418"/>
      <c r="BM71" s="418"/>
      <c r="BN71" s="418"/>
      <c r="BO71" s="418"/>
      <c r="BP71" s="418"/>
      <c r="BQ71" s="418"/>
    </row>
    <row r="72" spans="1:69" s="181" customFormat="1" ht="15" customHeight="1">
      <c r="A72" s="427" t="s">
        <v>237</v>
      </c>
      <c r="B72" s="421" t="s">
        <v>236</v>
      </c>
      <c r="C72" s="255">
        <f>SUM(C70:C71)</f>
        <v>5000</v>
      </c>
      <c r="D72" s="255">
        <f aca="true" t="shared" si="19" ref="D72:AL72">SUM(D70:D71)</f>
        <v>10000</v>
      </c>
      <c r="E72" s="255">
        <f t="shared" si="19"/>
        <v>15000</v>
      </c>
      <c r="F72" s="255">
        <f t="shared" si="19"/>
        <v>20000</v>
      </c>
      <c r="G72" s="255">
        <f t="shared" si="19"/>
        <v>25000</v>
      </c>
      <c r="H72" s="255">
        <f t="shared" si="19"/>
        <v>25000</v>
      </c>
      <c r="I72" s="255">
        <f t="shared" si="19"/>
        <v>25000</v>
      </c>
      <c r="J72" s="255">
        <f t="shared" si="19"/>
        <v>25000</v>
      </c>
      <c r="K72" s="255">
        <f t="shared" si="19"/>
        <v>25000</v>
      </c>
      <c r="L72" s="255">
        <f t="shared" si="19"/>
        <v>25000</v>
      </c>
      <c r="M72" s="255">
        <f t="shared" si="19"/>
        <v>25000</v>
      </c>
      <c r="N72" s="255">
        <f t="shared" si="19"/>
        <v>25000</v>
      </c>
      <c r="O72" s="255">
        <f t="shared" si="19"/>
        <v>25000</v>
      </c>
      <c r="P72" s="255">
        <f t="shared" si="19"/>
        <v>25000</v>
      </c>
      <c r="Q72" s="255">
        <f t="shared" si="19"/>
        <v>25000</v>
      </c>
      <c r="R72" s="255">
        <f t="shared" si="19"/>
        <v>25000</v>
      </c>
      <c r="S72" s="255">
        <f t="shared" si="19"/>
        <v>25000</v>
      </c>
      <c r="T72" s="255">
        <f t="shared" si="19"/>
        <v>25000</v>
      </c>
      <c r="U72" s="255">
        <f t="shared" si="19"/>
        <v>25000</v>
      </c>
      <c r="V72" s="255">
        <f t="shared" si="19"/>
        <v>25000</v>
      </c>
      <c r="W72" s="255">
        <f t="shared" si="19"/>
        <v>25000</v>
      </c>
      <c r="X72" s="255">
        <f t="shared" si="19"/>
        <v>25000</v>
      </c>
      <c r="Y72" s="255">
        <f t="shared" si="19"/>
        <v>25000</v>
      </c>
      <c r="Z72" s="255">
        <f t="shared" si="19"/>
        <v>25000</v>
      </c>
      <c r="AA72" s="255">
        <f t="shared" si="19"/>
        <v>25000</v>
      </c>
      <c r="AB72" s="255">
        <f t="shared" si="19"/>
        <v>25000</v>
      </c>
      <c r="AC72" s="255">
        <f t="shared" si="19"/>
        <v>25000</v>
      </c>
      <c r="AD72" s="255">
        <f t="shared" si="19"/>
        <v>25000</v>
      </c>
      <c r="AE72" s="255">
        <f t="shared" si="19"/>
        <v>25000</v>
      </c>
      <c r="AF72" s="255">
        <f t="shared" si="19"/>
        <v>25000</v>
      </c>
      <c r="AG72" s="255">
        <f t="shared" si="19"/>
        <v>25000</v>
      </c>
      <c r="AH72" s="255">
        <f t="shared" si="19"/>
        <v>25000</v>
      </c>
      <c r="AI72" s="255">
        <f t="shared" si="19"/>
        <v>25000</v>
      </c>
      <c r="AJ72" s="255">
        <f t="shared" si="19"/>
        <v>25000</v>
      </c>
      <c r="AK72" s="255">
        <f t="shared" si="19"/>
        <v>25000</v>
      </c>
      <c r="AL72" s="255">
        <f t="shared" si="19"/>
        <v>25000</v>
      </c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  <c r="BF72" s="418"/>
      <c r="BG72" s="418"/>
      <c r="BH72" s="418"/>
      <c r="BI72" s="418"/>
      <c r="BJ72" s="418"/>
      <c r="BK72" s="418"/>
      <c r="BL72" s="418"/>
      <c r="BM72" s="418"/>
      <c r="BN72" s="418"/>
      <c r="BO72" s="418"/>
      <c r="BP72" s="418"/>
      <c r="BQ72" s="418"/>
    </row>
    <row r="73" spans="1:69" s="181" customFormat="1" ht="15" customHeight="1">
      <c r="A73" s="415"/>
      <c r="B73" s="421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418"/>
      <c r="AI73" s="418"/>
      <c r="AJ73" s="418"/>
      <c r="AK73" s="418"/>
      <c r="AL73" s="418"/>
      <c r="AM73" s="418"/>
      <c r="AN73" s="418"/>
      <c r="AO73" s="418"/>
      <c r="AP73" s="418"/>
      <c r="AQ73" s="418"/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</row>
    <row r="74" spans="1:40" ht="15" customHeight="1">
      <c r="A74" s="53"/>
      <c r="B74" s="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4"/>
      <c r="O74" s="355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4"/>
      <c r="AA74" s="355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4"/>
      <c r="AM74" s="439"/>
      <c r="AN74" s="410"/>
    </row>
    <row r="75" spans="1:40" ht="13.5" customHeight="1">
      <c r="A75" s="114" t="s">
        <v>6</v>
      </c>
      <c r="B75" s="115"/>
      <c r="C75" s="356">
        <f>C40+C51+C58-C71</f>
        <v>55433.333333333336</v>
      </c>
      <c r="D75" s="356">
        <f>D40+D51+D58-D71</f>
        <v>-33075.520000000004</v>
      </c>
      <c r="E75" s="356">
        <f aca="true" t="shared" si="20" ref="E75:AL75">E40+E51+E58-E71</f>
        <v>-17826.14</v>
      </c>
      <c r="F75" s="356">
        <f t="shared" si="20"/>
        <v>54992.94</v>
      </c>
      <c r="G75" s="356">
        <f t="shared" si="20"/>
        <v>-116108.1</v>
      </c>
      <c r="H75" s="356">
        <f t="shared" si="20"/>
        <v>-106429.284</v>
      </c>
      <c r="I75" s="356">
        <f t="shared" si="20"/>
        <v>63660.359200000006</v>
      </c>
      <c r="J75" s="356">
        <f t="shared" si="20"/>
        <v>-129152.08496</v>
      </c>
      <c r="K75" s="356">
        <f t="shared" si="20"/>
        <v>-121066.93795200001</v>
      </c>
      <c r="L75" s="356">
        <f t="shared" si="20"/>
        <v>-59864.68154239998</v>
      </c>
      <c r="M75" s="356">
        <f t="shared" si="20"/>
        <v>-123221.89385088</v>
      </c>
      <c r="N75" s="356">
        <f t="shared" si="20"/>
        <v>-109250.468621056</v>
      </c>
      <c r="O75" s="356">
        <f t="shared" si="20"/>
        <v>-110623.79975326723</v>
      </c>
      <c r="P75" s="356">
        <f t="shared" si="20"/>
        <v>-2779.9856626995024</v>
      </c>
      <c r="Q75" s="356">
        <f t="shared" si="20"/>
        <v>-16551.790163075</v>
      </c>
      <c r="R75" s="356">
        <f t="shared" si="20"/>
        <v>-5850.775113488082</v>
      </c>
      <c r="S75" s="356">
        <f t="shared" si="20"/>
        <v>5920.341441057448</v>
      </c>
      <c r="T75" s="356">
        <f t="shared" si="20"/>
        <v>18868.56965105771</v>
      </c>
      <c r="U75" s="356">
        <f t="shared" si="20"/>
        <v>33111.62068205769</v>
      </c>
      <c r="V75" s="356">
        <f t="shared" si="20"/>
        <v>47778.97681615804</v>
      </c>
      <c r="W75" s="356">
        <f t="shared" si="20"/>
        <v>65013.06856366829</v>
      </c>
      <c r="X75" s="356">
        <f t="shared" si="20"/>
        <v>67095.56948592939</v>
      </c>
      <c r="Y75" s="356">
        <f t="shared" si="20"/>
        <v>87948.8205004168</v>
      </c>
      <c r="Z75" s="356">
        <f t="shared" si="20"/>
        <v>110853.39661635284</v>
      </c>
      <c r="AA75" s="356">
        <f t="shared" si="20"/>
        <v>66942.3026285489</v>
      </c>
      <c r="AB75" s="356">
        <f t="shared" si="20"/>
        <v>68054.41168262818</v>
      </c>
      <c r="AC75" s="356">
        <f t="shared" si="20"/>
        <v>70187.64182724812</v>
      </c>
      <c r="AD75" s="356">
        <f t="shared" si="20"/>
        <v>72342.2042733143</v>
      </c>
      <c r="AE75" s="356">
        <f t="shared" si="20"/>
        <v>74518.31234384092</v>
      </c>
      <c r="AF75" s="356">
        <f t="shared" si="20"/>
        <v>76716.18149507299</v>
      </c>
      <c r="AG75" s="356">
        <f t="shared" si="20"/>
        <v>78936.02933781731</v>
      </c>
      <c r="AH75" s="356">
        <f t="shared" si="20"/>
        <v>80178.07565898946</v>
      </c>
      <c r="AI75" s="356">
        <f t="shared" si="20"/>
        <v>82442.54244337275</v>
      </c>
      <c r="AJ75" s="356">
        <f t="shared" si="20"/>
        <v>84729.6538956002</v>
      </c>
      <c r="AK75" s="356">
        <f t="shared" si="20"/>
        <v>87039.63646234988</v>
      </c>
      <c r="AL75" s="356">
        <f t="shared" si="20"/>
        <v>89210.71885476701</v>
      </c>
      <c r="AM75" s="439"/>
      <c r="AN75" s="410"/>
    </row>
    <row r="76" spans="3:38" ht="12.75" customHeight="1"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</row>
    <row r="81" ht="12.75" customHeight="1">
      <c r="AL81" s="299"/>
    </row>
  </sheetData>
  <sheetProtection/>
  <printOptions/>
  <pageMargins left="0.75" right="0.75" top="1" bottom="1" header="0.3" footer="0.3"/>
  <pageSetup horizontalDpi="600" verticalDpi="600" orientation="landscape" scale="37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8:IV158"/>
  <sheetViews>
    <sheetView showGridLines="0" zoomScalePageLayoutView="0" workbookViewId="0" topLeftCell="A1">
      <selection activeCell="I1" sqref="I1"/>
    </sheetView>
  </sheetViews>
  <sheetFormatPr defaultColWidth="10.00390625" defaultRowHeight="12.75" customHeight="1"/>
  <cols>
    <col min="1" max="1" width="10.00390625" style="0" customWidth="1"/>
    <col min="2" max="2" width="12.28125" style="0" bestFit="1" customWidth="1"/>
    <col min="3" max="3" width="14.00390625" style="0" bestFit="1" customWidth="1"/>
    <col min="4" max="4" width="13.57421875" style="0" bestFit="1" customWidth="1"/>
    <col min="5" max="5" width="14.57421875" style="0" bestFit="1" customWidth="1"/>
    <col min="6" max="6" width="15.140625" style="0" bestFit="1" customWidth="1"/>
    <col min="7" max="7" width="12.7109375" style="0" bestFit="1" customWidth="1"/>
    <col min="8" max="8" width="13.7109375" style="0" bestFit="1" customWidth="1"/>
    <col min="9" max="9" width="12.7109375" style="0" bestFit="1" customWidth="1"/>
    <col min="10" max="10" width="13.7109375" style="228" bestFit="1" customWidth="1"/>
    <col min="11" max="11" width="12.7109375" style="0" bestFit="1" customWidth="1"/>
    <col min="12" max="14" width="12.28125" style="0" bestFit="1" customWidth="1"/>
    <col min="15" max="22" width="12.00390625" style="0" bestFit="1" customWidth="1"/>
    <col min="23" max="23" width="12.57421875" style="0" bestFit="1" customWidth="1"/>
    <col min="24" max="26" width="12.00390625" style="0" bestFit="1" customWidth="1"/>
    <col min="27" max="27" width="13.7109375" style="0" bestFit="1" customWidth="1"/>
    <col min="28" max="37" width="11.7109375" style="0" bestFit="1" customWidth="1"/>
    <col min="38" max="38" width="11.57421875" style="0" bestFit="1" customWidth="1"/>
  </cols>
  <sheetData>
    <row r="28" ht="12.75" customHeight="1">
      <c r="Q28" t="s">
        <v>4</v>
      </c>
    </row>
    <row r="51" ht="12.75" customHeight="1">
      <c r="R51" t="s">
        <v>14</v>
      </c>
    </row>
    <row r="122" spans="2:5" ht="12.75" customHeight="1">
      <c r="B122" s="437" t="s">
        <v>12</v>
      </c>
      <c r="C122" s="228">
        <f>'Profit and loss'!C8</f>
        <v>3970000</v>
      </c>
      <c r="D122" s="228">
        <f>'Profit and loss'!D8</f>
        <v>6988000</v>
      </c>
      <c r="E122" s="228">
        <f>'Profit and loss'!E8</f>
        <v>10105000</v>
      </c>
    </row>
    <row r="123" spans="2:5" ht="12.75" customHeight="1">
      <c r="B123" s="436" t="s">
        <v>242</v>
      </c>
      <c r="C123" s="228">
        <f>('Profit and loss'!C14+'Profit and loss'!C23+'Profit and loss'!C26)*-1</f>
        <v>1230616.8846364445</v>
      </c>
      <c r="D123" s="228">
        <f>('Profit and loss'!D14+'Profit and loss'!D23+'Profit and loss'!D26)*-1</f>
        <v>4162667.6605292223</v>
      </c>
      <c r="E123" s="228">
        <f>('Profit and loss'!E14+'Profit and loss'!E23+'Profit and loss'!E26)*-1</f>
        <v>6932186.075457233</v>
      </c>
    </row>
    <row r="124" spans="2:256" ht="12.75" customHeight="1">
      <c r="B124" s="436" t="s">
        <v>240</v>
      </c>
      <c r="C124" s="218">
        <f>C122-C123</f>
        <v>2739383.1153635555</v>
      </c>
      <c r="D124" s="218">
        <f>D122-D123</f>
        <v>2825332.3394707777</v>
      </c>
      <c r="E124" s="218">
        <f>E122-E123</f>
        <v>3172813.924542767</v>
      </c>
      <c r="IV124" s="218"/>
    </row>
    <row r="127" spans="3:38" ht="12.75" customHeight="1">
      <c r="C127">
        <v>1</v>
      </c>
      <c r="D127">
        <v>2</v>
      </c>
      <c r="E127">
        <v>3</v>
      </c>
      <c r="F127">
        <v>4</v>
      </c>
      <c r="G127">
        <v>5</v>
      </c>
      <c r="H127">
        <v>6</v>
      </c>
      <c r="I127">
        <v>7</v>
      </c>
      <c r="J127">
        <v>8</v>
      </c>
      <c r="K127">
        <v>9</v>
      </c>
      <c r="L127">
        <v>10</v>
      </c>
      <c r="M127">
        <v>11</v>
      </c>
      <c r="N127">
        <v>12</v>
      </c>
      <c r="O127">
        <v>13</v>
      </c>
      <c r="P127">
        <v>14</v>
      </c>
      <c r="Q127">
        <v>15</v>
      </c>
      <c r="R127">
        <v>16</v>
      </c>
      <c r="S127">
        <v>17</v>
      </c>
      <c r="T127">
        <v>18</v>
      </c>
      <c r="U127">
        <v>19</v>
      </c>
      <c r="V127">
        <v>20</v>
      </c>
      <c r="W127">
        <v>21</v>
      </c>
      <c r="X127">
        <v>22</v>
      </c>
      <c r="Y127">
        <v>23</v>
      </c>
      <c r="Z127">
        <v>24</v>
      </c>
      <c r="AA127">
        <v>25</v>
      </c>
      <c r="AB127">
        <v>26</v>
      </c>
      <c r="AC127">
        <v>27</v>
      </c>
      <c r="AD127">
        <v>28</v>
      </c>
      <c r="AE127">
        <v>29</v>
      </c>
      <c r="AF127">
        <v>30</v>
      </c>
      <c r="AG127">
        <v>31</v>
      </c>
      <c r="AH127">
        <v>32</v>
      </c>
      <c r="AI127">
        <v>33</v>
      </c>
      <c r="AJ127">
        <v>34</v>
      </c>
      <c r="AK127">
        <v>35</v>
      </c>
      <c r="AL127">
        <v>36</v>
      </c>
    </row>
    <row r="128" spans="2:38" ht="12.75" customHeight="1">
      <c r="B128" s="436" t="s">
        <v>4</v>
      </c>
      <c r="C128" s="228">
        <f>'Monthly Proforma P&amp;L'!C9</f>
        <v>33333.333333333336</v>
      </c>
      <c r="D128" s="228">
        <f>'Monthly Proforma P&amp;L'!D9</f>
        <v>40000</v>
      </c>
      <c r="E128" s="228">
        <f>'Monthly Proforma P&amp;L'!E9</f>
        <v>60000</v>
      </c>
      <c r="F128" s="228">
        <f>'Monthly Proforma P&amp;L'!F9</f>
        <v>68000</v>
      </c>
      <c r="G128" s="228">
        <f>'Monthly Proforma P&amp;L'!G9</f>
        <v>77600</v>
      </c>
      <c r="H128" s="228">
        <f>'Monthly Proforma P&amp;L'!H9</f>
        <v>89120</v>
      </c>
      <c r="I128" s="228">
        <f>'Monthly Proforma P&amp;L'!I9</f>
        <v>107944</v>
      </c>
      <c r="J128" s="228">
        <f>'Monthly Proforma P&amp;L'!J9</f>
        <v>124532.8</v>
      </c>
      <c r="K128" s="228">
        <f>'Monthly Proforma P&amp;L'!K9</f>
        <v>144439.36</v>
      </c>
      <c r="L128" s="228">
        <f>'Monthly Proforma P&amp;L'!L9</f>
        <v>168327.232</v>
      </c>
      <c r="M128" s="228">
        <f>'Monthly Proforma P&amp;L'!M9</f>
        <v>196992.67839999998</v>
      </c>
      <c r="N128" s="228">
        <f>'Monthly Proforma P&amp;L'!N9</f>
        <v>231391.21407999998</v>
      </c>
      <c r="O128" s="228">
        <f>'Monthly Proforma P&amp;L'!O9</f>
        <v>354530.33548799995</v>
      </c>
      <c r="P128" s="228">
        <f>'Monthly Proforma P&amp;L'!P9</f>
        <v>379983.3690368</v>
      </c>
      <c r="Q128" s="228">
        <f>'Monthly Proforma P&amp;L'!Q9</f>
        <v>407981.70594048005</v>
      </c>
      <c r="R128" s="228">
        <f>'Monthly Proforma P&amp;L'!R9</f>
        <v>438779.8765345281</v>
      </c>
      <c r="S128" s="228">
        <f>'Monthly Proforma P&amp;L'!S9</f>
        <v>472657.8641879809</v>
      </c>
      <c r="T128" s="228">
        <f>'Monthly Proforma P&amp;L'!T9</f>
        <v>509923.65060677903</v>
      </c>
      <c r="U128" s="228">
        <f>'Monthly Proforma P&amp;L'!U9</f>
        <v>550916.0156674569</v>
      </c>
      <c r="V128" s="228">
        <f>'Monthly Proforma P&amp;L'!V9</f>
        <v>596007.6172342027</v>
      </c>
      <c r="W128" s="228">
        <f>'Monthly Proforma P&amp;L'!W9</f>
        <v>645608.378957623</v>
      </c>
      <c r="X128" s="228">
        <f>'Monthly Proforma P&amp;L'!X9</f>
        <v>700169.2168533853</v>
      </c>
      <c r="Y128" s="228">
        <f>'Monthly Proforma P&amp;L'!Y9</f>
        <v>760186.1385387239</v>
      </c>
      <c r="Z128" s="228">
        <f>'Monthly Proforma P&amp;L'!Z9</f>
        <v>826204.7523925963</v>
      </c>
      <c r="AA128" s="228">
        <f>'Monthly Proforma P&amp;L'!AA9</f>
        <v>833466.7999165225</v>
      </c>
      <c r="AB128" s="228">
        <f>'Monthly Proforma P&amp;L'!AB9</f>
        <v>840801.4679156877</v>
      </c>
      <c r="AC128" s="228">
        <f>'Monthly Proforma P&amp;L'!AC9</f>
        <v>848209.4825948447</v>
      </c>
      <c r="AD128" s="228">
        <f>'Monthly Proforma P&amp;L'!AD9</f>
        <v>855691.5774207931</v>
      </c>
      <c r="AE128" s="228">
        <f>'Monthly Proforma P&amp;L'!AE9</f>
        <v>863248.493195001</v>
      </c>
      <c r="AF128" s="228">
        <f>'Monthly Proforma P&amp;L'!AF9</f>
        <v>870880.978126951</v>
      </c>
      <c r="AG128" s="228">
        <f>'Monthly Proforma P&amp;L'!AG9</f>
        <v>878589.7879082204</v>
      </c>
      <c r="AH128" s="228">
        <f>'Monthly Proforma P&amp;L'!AH9</f>
        <v>886375.6857873028</v>
      </c>
      <c r="AI128" s="228">
        <f>'Monthly Proforma P&amp;L'!AI9</f>
        <v>894239.4426451757</v>
      </c>
      <c r="AJ128" s="228">
        <f>'Monthly Proforma P&amp;L'!AJ9</f>
        <v>902181.8370716275</v>
      </c>
      <c r="AK128" s="228">
        <f>'Monthly Proforma P&amp;L'!AK9</f>
        <v>910203.6554423438</v>
      </c>
      <c r="AL128" s="228">
        <f>'Monthly Proforma P&amp;L'!AL9</f>
        <v>918305.6919967672</v>
      </c>
    </row>
    <row r="132" ht="12.75" customHeight="1">
      <c r="B132" s="436" t="s">
        <v>219</v>
      </c>
    </row>
    <row r="133" spans="2:37" ht="12.75" customHeight="1">
      <c r="B133">
        <v>1</v>
      </c>
      <c r="C133">
        <v>2</v>
      </c>
      <c r="D133">
        <v>3</v>
      </c>
      <c r="E133">
        <v>4</v>
      </c>
      <c r="F133">
        <v>5</v>
      </c>
      <c r="G133">
        <v>6</v>
      </c>
      <c r="H133">
        <v>7</v>
      </c>
      <c r="I133">
        <v>8</v>
      </c>
      <c r="J133">
        <v>9</v>
      </c>
      <c r="K133">
        <v>10</v>
      </c>
      <c r="L133">
        <v>11</v>
      </c>
      <c r="M133">
        <v>12</v>
      </c>
      <c r="N133">
        <v>13</v>
      </c>
      <c r="O133">
        <v>14</v>
      </c>
      <c r="P133">
        <v>15</v>
      </c>
      <c r="Q133">
        <v>16</v>
      </c>
      <c r="R133">
        <v>17</v>
      </c>
      <c r="S133">
        <v>18</v>
      </c>
      <c r="T133">
        <v>19</v>
      </c>
      <c r="U133">
        <v>20</v>
      </c>
      <c r="V133">
        <v>21</v>
      </c>
      <c r="W133">
        <v>22</v>
      </c>
      <c r="X133">
        <v>23</v>
      </c>
      <c r="Y133">
        <v>24</v>
      </c>
      <c r="Z133">
        <v>25</v>
      </c>
      <c r="AA133">
        <v>26</v>
      </c>
      <c r="AB133">
        <v>27</v>
      </c>
      <c r="AC133">
        <v>28</v>
      </c>
      <c r="AD133">
        <v>29</v>
      </c>
      <c r="AE133">
        <v>30</v>
      </c>
      <c r="AF133">
        <v>31</v>
      </c>
      <c r="AG133">
        <v>32</v>
      </c>
      <c r="AH133">
        <v>33</v>
      </c>
      <c r="AI133">
        <v>34</v>
      </c>
      <c r="AJ133">
        <v>35</v>
      </c>
      <c r="AK133">
        <v>36</v>
      </c>
    </row>
    <row r="134" spans="1:37" ht="12.75" customHeight="1">
      <c r="A134" s="436"/>
      <c r="B134" s="231">
        <f>'Monthly Proforma P&amp;L'!C29</f>
        <v>-137142.18666666665</v>
      </c>
      <c r="C134" s="231">
        <f>'Monthly Proforma P&amp;L'!D29</f>
        <v>-115426.14</v>
      </c>
      <c r="D134" s="231">
        <f>'Monthly Proforma P&amp;L'!E29</f>
        <v>-109677.06</v>
      </c>
      <c r="E134" s="231">
        <f>'Monthly Proforma P&amp;L'!F29</f>
        <v>-395168.1</v>
      </c>
      <c r="F134" s="231">
        <f>'Monthly Proforma P&amp;L'!G29</f>
        <v>-392409.284</v>
      </c>
      <c r="G134" s="231">
        <f>'Monthly Proforma P&amp;L'!H29</f>
        <v>-389098.6408</v>
      </c>
      <c r="H134" s="231">
        <f>'Monthly Proforma P&amp;L'!I29</f>
        <v>-431500.88496</v>
      </c>
      <c r="I134" s="231">
        <f>'Monthly Proforma P&amp;L'!J29</f>
        <v>-485983.497952</v>
      </c>
      <c r="J134" s="231">
        <f>'Monthly Proforma P&amp;L'!K29</f>
        <v>-480262.5535424</v>
      </c>
      <c r="K134" s="231">
        <f>'Monthly Proforma P&amp;L'!L29</f>
        <v>-543897.34025088</v>
      </c>
      <c r="L134" s="231">
        <f>'Monthly Proforma P&amp;L'!M29</f>
        <v>-535659.004301056</v>
      </c>
      <c r="M134" s="231">
        <f>'Monthly Proforma P&amp;L'!N29</f>
        <v>-525772.9211612672</v>
      </c>
      <c r="N134" s="231">
        <f>'Monthly Proforma P&amp;L'!O29</f>
        <v>-420243.01921149954</v>
      </c>
      <c r="O134" s="231">
        <f>'Monthly Proforma P&amp;L'!P29</f>
        <v>-413060.1270667551</v>
      </c>
      <c r="P134" s="231">
        <f>'Monthly Proforma P&amp;L'!Q29</f>
        <v>-475658.9457075361</v>
      </c>
      <c r="Q134" s="231">
        <f>'Monthly Proforma P&amp;L'!R29</f>
        <v>-466967.64621239534</v>
      </c>
      <c r="R134" s="231">
        <f>'Monthly Proforma P&amp;L'!S29</f>
        <v>-457407.21676774044</v>
      </c>
      <c r="S134" s="231">
        <f>'Monthly Proforma P&amp;L'!T29</f>
        <v>-446890.7443786202</v>
      </c>
      <c r="T134" s="231">
        <f>'Monthly Proforma P&amp;L'!U29</f>
        <v>-436322.62475058774</v>
      </c>
      <c r="U134" s="231">
        <f>'Monthly Proforma P&amp;L'!V29</f>
        <v>-423597.69315975206</v>
      </c>
      <c r="V134" s="231">
        <f>'Monthly Proforma P&amp;L'!W29</f>
        <v>-409600.2684098329</v>
      </c>
      <c r="W134" s="231">
        <f>'Monthly Proforma P&amp;L'!X29</f>
        <v>-444828.1011849218</v>
      </c>
      <c r="X134" s="231">
        <f>'Monthly Proforma P&amp;L'!Y29</f>
        <v>-427891.21723751957</v>
      </c>
      <c r="Y134" s="231">
        <f>'Monthly Proforma P&amp;L'!Z29</f>
        <v>-409260.6448953772</v>
      </c>
      <c r="Z134" s="231">
        <f>'Monthly Proforma P&amp;L'!AA29</f>
        <v>-419678.4563165371</v>
      </c>
      <c r="AA134" s="231">
        <f>'Monthly Proforma P&amp;L'!AB29</f>
        <v>-417618.57285190886</v>
      </c>
      <c r="AB134" s="231">
        <f>'Monthly Proforma P&amp;L'!AC29</f>
        <v>-415538.0905526342</v>
      </c>
      <c r="AC134" s="231">
        <f>'Monthly Proforma P&amp;L'!AD29</f>
        <v>-413436.803430367</v>
      </c>
      <c r="AD134" s="231">
        <f>'Monthly Proforma P&amp;L'!AE29</f>
        <v>-411314.50343687704</v>
      </c>
      <c r="AE134" s="231">
        <f>'Monthly Proforma P&amp;L'!AF29</f>
        <v>-409170.98044345214</v>
      </c>
      <c r="AF134" s="231">
        <f>'Monthly Proforma P&amp;L'!AG29</f>
        <v>-408006.02222009294</v>
      </c>
      <c r="AG134" s="231">
        <f>'Monthly Proforma P&amp;L'!AH29</f>
        <v>-405819.41441450024</v>
      </c>
      <c r="AH134" s="231">
        <f>'Monthly Proforma P&amp;L'!AI29</f>
        <v>-403610.9405308516</v>
      </c>
      <c r="AI134" s="231">
        <f>'Monthly Proforma P&amp;L'!AJ29</f>
        <v>-401380.38190836646</v>
      </c>
      <c r="AJ134" s="231">
        <f>'Monthly Proforma P&amp;L'!AK29</f>
        <v>-399127.5176996564</v>
      </c>
      <c r="AK134" s="231">
        <f>'Monthly Proforma P&amp;L'!AL29</f>
        <v>-396852.12484885927</v>
      </c>
    </row>
    <row r="135" spans="3:8" ht="12.75" customHeight="1">
      <c r="C135" s="228"/>
      <c r="F135" s="228"/>
      <c r="H135" s="228"/>
    </row>
    <row r="136" spans="3:8" ht="12.75" customHeight="1">
      <c r="C136" s="228"/>
      <c r="F136" s="228"/>
      <c r="H136" s="228"/>
    </row>
    <row r="137" spans="2:10" ht="12.75" customHeight="1">
      <c r="B137" s="436" t="s">
        <v>243</v>
      </c>
      <c r="J137"/>
    </row>
    <row r="138" spans="1:37" ht="12.75" customHeight="1">
      <c r="A138" s="438"/>
      <c r="B138" s="170">
        <f>'Cash Flow Proforma'!C7</f>
        <v>55433.333333333336</v>
      </c>
      <c r="C138" s="170">
        <f>'Cash Flow Proforma'!D7</f>
        <v>22357.81333333333</v>
      </c>
      <c r="D138" s="170">
        <f>'Cash Flow Proforma'!E7</f>
        <v>4531.673333333332</v>
      </c>
      <c r="E138" s="170">
        <f>'Cash Flow Proforma'!F7</f>
        <v>59524.613333333335</v>
      </c>
      <c r="F138" s="170">
        <f>'Cash Flow Proforma'!G7</f>
        <v>-56583.48666666667</v>
      </c>
      <c r="G138" s="170">
        <f>'Cash Flow Proforma'!H7</f>
        <v>-163012.77066666668</v>
      </c>
      <c r="H138" s="170">
        <f>'Cash Flow Proforma'!I7</f>
        <v>-99352.41146666667</v>
      </c>
      <c r="I138" s="170">
        <f>'Cash Flow Proforma'!J7</f>
        <v>-228504.49642666668</v>
      </c>
      <c r="J138" s="170">
        <f>'Cash Flow Proforma'!K7</f>
        <v>-349571.4343786667</v>
      </c>
      <c r="K138" s="170">
        <f>'Cash Flow Proforma'!L7</f>
        <v>-409436.11592106667</v>
      </c>
      <c r="L138" s="170">
        <f>'Cash Flow Proforma'!M7</f>
        <v>-532658.0097719467</v>
      </c>
      <c r="M138" s="170">
        <f>'Cash Flow Proforma'!N7</f>
        <v>-641908.4783930026</v>
      </c>
      <c r="N138" s="170">
        <f>'Cash Flow Proforma'!O7</f>
        <v>-752532.2781462698</v>
      </c>
      <c r="O138" s="170">
        <f>'Cash Flow Proforma'!P7</f>
        <v>-755312.2638089694</v>
      </c>
      <c r="P138" s="170">
        <f>'Cash Flow Proforma'!Q7</f>
        <v>-771864.0539720444</v>
      </c>
      <c r="Q138" s="170">
        <f>'Cash Flow Proforma'!R7</f>
        <v>-777714.8290855325</v>
      </c>
      <c r="R138" s="170">
        <f>'Cash Flow Proforma'!S7</f>
        <v>-771794.487644475</v>
      </c>
      <c r="S138" s="170">
        <f>'Cash Flow Proforma'!T7</f>
        <v>-752925.9179934172</v>
      </c>
      <c r="T138" s="170">
        <f>'Cash Flow Proforma'!U7</f>
        <v>-719814.2973113596</v>
      </c>
      <c r="U138" s="170">
        <f>'Cash Flow Proforma'!V7</f>
        <v>-672035.3204952015</v>
      </c>
      <c r="V138" s="170">
        <f>'Cash Flow Proforma'!W7</f>
        <v>-607022.2519315332</v>
      </c>
      <c r="W138" s="170">
        <f>'Cash Flow Proforma'!X7</f>
        <v>-539926.6824456039</v>
      </c>
      <c r="X138" s="170">
        <f>'Cash Flow Proforma'!Y7</f>
        <v>-451977.8619451871</v>
      </c>
      <c r="Y138" s="170">
        <f>'Cash Flow Proforma'!Z7</f>
        <v>-341124.46532883425</v>
      </c>
      <c r="Z138" s="170">
        <f>'Cash Flow Proforma'!AA7</f>
        <v>-274182.1627002853</v>
      </c>
      <c r="AA138" s="170">
        <f>'Cash Flow Proforma'!AB7</f>
        <v>-206127.75101765714</v>
      </c>
      <c r="AB138" s="170">
        <f>'Cash Flow Proforma'!AC7</f>
        <v>-135940.109190409</v>
      </c>
      <c r="AC138" s="170">
        <f>'Cash Flow Proforma'!AD7</f>
        <v>-63597.90491709471</v>
      </c>
      <c r="AD138" s="170">
        <f>'Cash Flow Proforma'!AE7</f>
        <v>10920.407426746213</v>
      </c>
      <c r="AE138" s="170">
        <f>'Cash Flow Proforma'!AF7</f>
        <v>87636.5889218192</v>
      </c>
      <c r="AF138" s="170">
        <f>'Cash Flow Proforma'!AG7</f>
        <v>166572.6182596365</v>
      </c>
      <c r="AG138" s="170">
        <f>'Cash Flow Proforma'!AH7</f>
        <v>246750.69391862597</v>
      </c>
      <c r="AH138" s="170">
        <f>'Cash Flow Proforma'!AI7</f>
        <v>329193.2363619987</v>
      </c>
      <c r="AI138" s="170">
        <f>'Cash Flow Proforma'!AJ7</f>
        <v>413922.89025759895</v>
      </c>
      <c r="AJ138" s="170">
        <f>'Cash Flow Proforma'!AK7</f>
        <v>500962.52671994886</v>
      </c>
      <c r="AK138" s="170">
        <f>'Cash Flow Proforma'!AL7</f>
        <v>590173.2455747159</v>
      </c>
    </row>
    <row r="139" spans="3:8" ht="12.75" customHeight="1">
      <c r="C139" s="228"/>
      <c r="F139" s="228"/>
      <c r="H139" s="228"/>
    </row>
    <row r="140" spans="3:8" ht="12.75" customHeight="1">
      <c r="C140" s="228"/>
      <c r="F140" s="228"/>
      <c r="H140" s="228"/>
    </row>
    <row r="141" spans="2:8" ht="12.75" customHeight="1">
      <c r="B141" s="436" t="s">
        <v>244</v>
      </c>
      <c r="C141" s="228"/>
      <c r="F141" s="228"/>
      <c r="H141" s="228"/>
    </row>
    <row r="142" spans="2:37" ht="12.75" customHeight="1">
      <c r="B142" s="228">
        <f>'Cash Flow Proforma'!C40</f>
        <v>-14566.666666666664</v>
      </c>
      <c r="C142" s="228">
        <f>'Cash Flow Proforma'!D40</f>
        <v>-28075.52</v>
      </c>
      <c r="D142" s="228">
        <f>'Cash Flow Proforma'!E40</f>
        <v>-12826.14</v>
      </c>
      <c r="E142" s="228">
        <f>'Cash Flow Proforma'!F40</f>
        <v>-115007.06</v>
      </c>
      <c r="F142" s="228">
        <f>'Cash Flow Proforma'!G40</f>
        <v>-111108.1</v>
      </c>
      <c r="G142" s="228">
        <f>'Cash Flow Proforma'!H40</f>
        <v>-106429.284</v>
      </c>
      <c r="H142" s="228">
        <f>'Cash Flow Proforma'!I40</f>
        <v>-111339.6408</v>
      </c>
      <c r="I142" s="228">
        <f>'Cash Flow Proforma'!J40</f>
        <v>-129152.08496</v>
      </c>
      <c r="J142" s="228">
        <f>'Cash Flow Proforma'!K40</f>
        <v>-121066.93795200001</v>
      </c>
      <c r="K142" s="228">
        <f>'Cash Flow Proforma'!L40</f>
        <v>-134864.68154239998</v>
      </c>
      <c r="L142" s="228">
        <f>'Cash Flow Proforma'!M40</f>
        <v>-123221.89385088</v>
      </c>
      <c r="M142" s="228">
        <f>'Cash Flow Proforma'!N40</f>
        <v>-109250.468621056</v>
      </c>
      <c r="N142" s="228">
        <f>'Cash Flow Proforma'!O40</f>
        <v>-110623.79975326723</v>
      </c>
      <c r="O142" s="228">
        <f>'Cash Flow Proforma'!P40</f>
        <v>-2779.9856626995024</v>
      </c>
      <c r="P142" s="228">
        <f>'Cash Flow Proforma'!Q40</f>
        <v>-16551.790163075</v>
      </c>
      <c r="Q142" s="228">
        <f>'Cash Flow Proforma'!R40</f>
        <v>-5850.775113488082</v>
      </c>
      <c r="R142" s="228">
        <f>'Cash Flow Proforma'!S40</f>
        <v>5920.341441057448</v>
      </c>
      <c r="S142" s="228">
        <f>'Cash Flow Proforma'!T40</f>
        <v>18868.56965105771</v>
      </c>
      <c r="T142" s="228">
        <f>'Cash Flow Proforma'!U40</f>
        <v>33111.62068205769</v>
      </c>
      <c r="U142" s="228">
        <f>'Cash Flow Proforma'!V40</f>
        <v>47778.97681615804</v>
      </c>
      <c r="V142" s="228">
        <f>'Cash Flow Proforma'!W40</f>
        <v>65013.06856366829</v>
      </c>
      <c r="W142" s="228">
        <f>'Cash Flow Proforma'!X40</f>
        <v>67095.56948592939</v>
      </c>
      <c r="X142" s="228">
        <f>'Cash Flow Proforma'!Y40</f>
        <v>87948.8205004168</v>
      </c>
      <c r="Y142" s="228">
        <f>'Cash Flow Proforma'!Z40</f>
        <v>110853.39661635284</v>
      </c>
      <c r="Z142" s="228">
        <f>'Cash Flow Proforma'!AA40</f>
        <v>66942.3026285489</v>
      </c>
      <c r="AA142" s="228">
        <f>'Cash Flow Proforma'!AB40</f>
        <v>68054.41168262818</v>
      </c>
      <c r="AB142" s="228">
        <f>'Cash Flow Proforma'!AC40</f>
        <v>70187.64182724812</v>
      </c>
      <c r="AC142" s="228">
        <f>'Cash Flow Proforma'!AD40</f>
        <v>72342.2042733143</v>
      </c>
      <c r="AD142" s="228">
        <f>'Cash Flow Proforma'!AE40</f>
        <v>74518.31234384092</v>
      </c>
      <c r="AE142" s="228">
        <f>'Cash Flow Proforma'!AF40</f>
        <v>76716.18149507299</v>
      </c>
      <c r="AF142" s="228">
        <f>'Cash Flow Proforma'!AG40</f>
        <v>78936.02933781731</v>
      </c>
      <c r="AG142" s="228">
        <f>'Cash Flow Proforma'!AH40</f>
        <v>80178.07565898946</v>
      </c>
      <c r="AH142" s="228">
        <f>'Cash Flow Proforma'!AI40</f>
        <v>82442.54244337275</v>
      </c>
      <c r="AI142" s="228">
        <f>'Cash Flow Proforma'!AJ40</f>
        <v>84729.6538956002</v>
      </c>
      <c r="AJ142" s="228">
        <f>'Cash Flow Proforma'!AK40</f>
        <v>87039.63646234988</v>
      </c>
      <c r="AK142" s="228">
        <f>'Cash Flow Proforma'!AL40</f>
        <v>89210.71885476701</v>
      </c>
    </row>
    <row r="143" spans="3:8" ht="12.75" customHeight="1">
      <c r="C143" s="228"/>
      <c r="F143" s="228"/>
      <c r="H143" s="228"/>
    </row>
    <row r="144" spans="3:8" ht="12.75" customHeight="1">
      <c r="C144" s="228"/>
      <c r="F144" s="228"/>
      <c r="H144" s="228"/>
    </row>
    <row r="145" spans="3:8" ht="12.75" customHeight="1">
      <c r="C145" s="228"/>
      <c r="F145" s="228"/>
      <c r="H145" s="228"/>
    </row>
    <row r="146" spans="3:8" ht="12.75" customHeight="1">
      <c r="C146" s="228"/>
      <c r="F146" s="228"/>
      <c r="H146" s="228"/>
    </row>
    <row r="147" spans="3:8" ht="12.75" customHeight="1">
      <c r="C147" s="228"/>
      <c r="F147" s="228"/>
      <c r="H147" s="228"/>
    </row>
    <row r="148" spans="3:8" ht="12.75" customHeight="1">
      <c r="C148" s="228"/>
      <c r="F148" s="228"/>
      <c r="H148" s="228"/>
    </row>
    <row r="149" spans="3:8" ht="12.75" customHeight="1">
      <c r="C149" s="228"/>
      <c r="F149" s="228"/>
      <c r="H149" s="228"/>
    </row>
    <row r="150" spans="3:8" ht="12.75" customHeight="1">
      <c r="C150" s="228"/>
      <c r="F150" s="228"/>
      <c r="H150" s="228"/>
    </row>
    <row r="151" spans="3:8" ht="12.75" customHeight="1">
      <c r="C151" s="228"/>
      <c r="F151" s="228"/>
      <c r="H151" s="228"/>
    </row>
    <row r="152" spans="3:8" ht="12.75" customHeight="1">
      <c r="C152" s="228"/>
      <c r="F152" s="228"/>
      <c r="H152" s="228"/>
    </row>
    <row r="153" spans="3:8" ht="12.75" customHeight="1">
      <c r="C153" s="228"/>
      <c r="F153" s="228"/>
      <c r="H153" s="228"/>
    </row>
    <row r="154" spans="3:8" ht="12.75" customHeight="1">
      <c r="C154" s="228"/>
      <c r="F154" s="228"/>
      <c r="H154" s="228"/>
    </row>
    <row r="155" spans="3:8" ht="12.75" customHeight="1">
      <c r="C155" s="228"/>
      <c r="F155" s="228"/>
      <c r="H155" s="228"/>
    </row>
    <row r="156" spans="3:8" ht="12.75" customHeight="1">
      <c r="C156" s="228"/>
      <c r="F156" s="228"/>
      <c r="H156" s="228"/>
    </row>
    <row r="157" spans="3:8" ht="12.75" customHeight="1">
      <c r="C157" s="228"/>
      <c r="F157" s="228"/>
      <c r="H157" s="228"/>
    </row>
    <row r="158" spans="3:8" ht="12.75" customHeight="1">
      <c r="C158" s="228"/>
      <c r="F158" s="228"/>
      <c r="H158" s="228"/>
    </row>
  </sheetData>
  <sheetProtection/>
  <printOptions/>
  <pageMargins left="0.75" right="0.75" top="1" bottom="1" header="0.3" footer="0.3"/>
  <pageSetup horizontalDpi="600" verticalDpi="600" orientation="landscape" scale="49" r:id="rId2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H17" sqref="H17"/>
    </sheetView>
  </sheetViews>
  <sheetFormatPr defaultColWidth="8.8515625" defaultRowHeight="15" customHeight="1"/>
  <cols>
    <col min="1" max="1" width="8.8515625" style="1" customWidth="1"/>
    <col min="2" max="2" width="27.8515625" style="1" customWidth="1"/>
    <col min="3" max="3" width="19.421875" style="1" customWidth="1"/>
    <col min="4" max="4" width="11.8515625" style="1" customWidth="1"/>
    <col min="5" max="16384" width="8.8515625" style="1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8"/>
      <c r="B2" s="8"/>
      <c r="C2" s="8"/>
      <c r="D2" s="8"/>
      <c r="E2" s="8"/>
    </row>
    <row r="3" spans="1:5" ht="15" customHeight="1">
      <c r="A3" s="14" t="s">
        <v>95</v>
      </c>
      <c r="B3" s="116"/>
      <c r="C3" s="116"/>
      <c r="D3" s="8"/>
      <c r="E3" s="8"/>
    </row>
    <row r="4" spans="1:5" ht="15" customHeight="1">
      <c r="A4" s="117"/>
      <c r="B4" s="5" t="s">
        <v>96</v>
      </c>
      <c r="C4" s="118">
        <v>0</v>
      </c>
      <c r="D4" s="2"/>
      <c r="E4" s="8"/>
    </row>
    <row r="5" spans="1:5" ht="15" customHeight="1">
      <c r="A5" s="117"/>
      <c r="B5" s="5" t="s">
        <v>97</v>
      </c>
      <c r="C5" s="118">
        <v>0</v>
      </c>
      <c r="D5" s="2"/>
      <c r="E5" s="8"/>
    </row>
    <row r="6" spans="1:5" ht="15" customHeight="1">
      <c r="A6" s="117"/>
      <c r="B6" s="5" t="s">
        <v>98</v>
      </c>
      <c r="C6" s="119">
        <v>60</v>
      </c>
      <c r="D6" s="2"/>
      <c r="E6" s="8"/>
    </row>
    <row r="7" spans="1:5" ht="15" customHeight="1">
      <c r="A7" s="117"/>
      <c r="B7" s="5" t="s">
        <v>99</v>
      </c>
      <c r="C7" s="118">
        <f>(C4-C5)/C6</f>
        <v>0</v>
      </c>
      <c r="D7" s="2"/>
      <c r="E7" s="8"/>
    </row>
    <row r="8" spans="1:5" ht="15" customHeight="1">
      <c r="A8" s="116"/>
      <c r="B8" s="120"/>
      <c r="C8" s="120"/>
      <c r="D8" s="8"/>
      <c r="E8" s="8"/>
    </row>
    <row r="9" spans="1:5" ht="15" customHeight="1">
      <c r="A9" s="5" t="s">
        <v>100</v>
      </c>
      <c r="B9" s="3"/>
      <c r="C9" s="3"/>
      <c r="D9" s="2"/>
      <c r="E9" s="8"/>
    </row>
    <row r="10" spans="1:5" ht="15" customHeight="1">
      <c r="A10" s="3"/>
      <c r="B10" s="5" t="s">
        <v>101</v>
      </c>
      <c r="C10" s="118">
        <v>0</v>
      </c>
      <c r="D10" s="121"/>
      <c r="E10" s="8"/>
    </row>
    <row r="11" spans="1:5" ht="15" customHeight="1">
      <c r="A11" s="3"/>
      <c r="B11" s="5" t="s">
        <v>102</v>
      </c>
      <c r="C11" s="118">
        <v>0</v>
      </c>
      <c r="D11" s="2"/>
      <c r="E11" s="8"/>
    </row>
  </sheetData>
  <sheetProtection/>
  <printOptions/>
  <pageMargins left="0.75" right="0.75" top="1" bottom="1" header="0.3" footer="0.3"/>
  <pageSetup horizontalDpi="600" verticalDpi="600" orientation="portrait" scale="78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" width="8.8515625" style="1" customWidth="1"/>
    <col min="2" max="2" width="24.140625" style="1" customWidth="1"/>
    <col min="3" max="3" width="13.421875" style="1" customWidth="1"/>
    <col min="4" max="5" width="10.140625" style="1" customWidth="1"/>
    <col min="6" max="7" width="11.140625" style="1" customWidth="1"/>
    <col min="8" max="9" width="12.140625" style="1" customWidth="1"/>
    <col min="10" max="10" width="11.140625" style="1" customWidth="1"/>
    <col min="11" max="11" width="10.140625" style="1" customWidth="1"/>
    <col min="12" max="16384" width="8.8515625" style="1" customWidth="1"/>
  </cols>
  <sheetData>
    <row r="1" spans="1:14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8"/>
      <c r="B2" s="14" t="s">
        <v>103</v>
      </c>
      <c r="C2" s="15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8"/>
      <c r="B3" s="14" t="s">
        <v>104</v>
      </c>
      <c r="C3" s="122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8"/>
      <c r="B4" s="14" t="s">
        <v>105</v>
      </c>
      <c r="C4" s="123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>
      <c r="A5" s="8"/>
      <c r="B5" s="14" t="s">
        <v>106</v>
      </c>
      <c r="C5" s="15">
        <f>PMT(C4/12,C3,C2,0)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8"/>
      <c r="B8" s="124" t="s">
        <v>80</v>
      </c>
      <c r="C8" s="125">
        <v>1</v>
      </c>
      <c r="D8" s="125">
        <v>2</v>
      </c>
      <c r="E8" s="125">
        <v>3</v>
      </c>
      <c r="F8" s="125">
        <v>4</v>
      </c>
      <c r="G8" s="125">
        <v>5</v>
      </c>
      <c r="H8" s="125">
        <v>6</v>
      </c>
      <c r="I8" s="125">
        <v>7</v>
      </c>
      <c r="J8" s="125">
        <v>8</v>
      </c>
      <c r="K8" s="125">
        <v>9</v>
      </c>
      <c r="L8" s="125">
        <v>10</v>
      </c>
      <c r="M8" s="125">
        <v>11</v>
      </c>
      <c r="N8" s="125">
        <v>12</v>
      </c>
    </row>
    <row r="9" spans="1:14" ht="15" customHeight="1">
      <c r="A9" s="8"/>
      <c r="B9" s="126" t="s">
        <v>107</v>
      </c>
      <c r="C9" s="127">
        <f aca="true" t="shared" si="0" ref="C9:N9">SUM(C10:C16)</f>
        <v>0</v>
      </c>
      <c r="D9" s="127">
        <f t="shared" si="0"/>
        <v>0</v>
      </c>
      <c r="E9" s="127">
        <f t="shared" si="0"/>
        <v>0</v>
      </c>
      <c r="F9" s="127">
        <f t="shared" si="0"/>
        <v>0</v>
      </c>
      <c r="G9" s="127">
        <f t="shared" si="0"/>
        <v>0</v>
      </c>
      <c r="H9" s="127">
        <f t="shared" si="0"/>
        <v>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127">
        <f t="shared" si="0"/>
        <v>0</v>
      </c>
      <c r="M9" s="127">
        <f t="shared" si="0"/>
        <v>0</v>
      </c>
      <c r="N9" s="127">
        <f t="shared" si="0"/>
        <v>0</v>
      </c>
    </row>
    <row r="10" spans="1:14" ht="15" customHeight="1">
      <c r="A10" s="8"/>
      <c r="B10" s="128" t="s">
        <v>108</v>
      </c>
      <c r="C10" s="15">
        <f>'Assumptions &amp; Open Questions'!C36</f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A11" s="8"/>
      <c r="B11" s="128" t="s">
        <v>109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A12" s="8"/>
      <c r="B12" s="128" t="s">
        <v>110</v>
      </c>
      <c r="C12" s="15"/>
      <c r="D12" s="15"/>
      <c r="E12" s="14" t="s">
        <v>15</v>
      </c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A13" s="8"/>
      <c r="B13" s="128" t="s">
        <v>111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A14" s="8"/>
      <c r="B14" s="128" t="s">
        <v>112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A15" s="8"/>
      <c r="B15" s="128" t="s">
        <v>113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A16" s="8"/>
      <c r="B16" s="128" t="s">
        <v>114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8"/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A18" s="8"/>
      <c r="B18" s="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A19" s="8"/>
      <c r="B19" s="14" t="s">
        <v>115</v>
      </c>
      <c r="C19" s="15">
        <f aca="true" t="shared" si="1" ref="C19:N19">SUM(C20:C22)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</row>
    <row r="20" spans="1:14" ht="15" customHeight="1">
      <c r="A20" s="8"/>
      <c r="B20" s="128" t="s">
        <v>116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A21" s="8"/>
      <c r="B21" s="128" t="s">
        <v>117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8"/>
      <c r="B22" s="128" t="s">
        <v>118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8"/>
      <c r="B23" s="12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/>
  <printOptions/>
  <pageMargins left="0.75" right="0.75" top="1" bottom="1" header="0.3" footer="0.3"/>
  <pageSetup fitToHeight="1" fitToWidth="1" horizontalDpi="600" verticalDpi="600" orientation="landscape" scale="79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Gould</dc:creator>
  <cp:keywords/>
  <dc:description/>
  <cp:lastModifiedBy>Darryl Gould</cp:lastModifiedBy>
  <dcterms:created xsi:type="dcterms:W3CDTF">2018-04-18T17:50:48Z</dcterms:created>
  <dcterms:modified xsi:type="dcterms:W3CDTF">2019-11-01T12:41:02Z</dcterms:modified>
  <cp:category/>
  <cp:version/>
  <cp:contentType/>
  <cp:contentStatus/>
</cp:coreProperties>
</file>